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00"/>
  </bookViews>
  <sheets>
    <sheet name="Прил 15" sheetId="1" r:id="rId1"/>
  </sheets>
  <definedNames>
    <definedName name="_xlnm.Print_Area" localSheetId="0">'Прил 15'!$A$1:$T$67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0" i="1" l="1"/>
  <c r="J60" i="1"/>
  <c r="P54" i="1"/>
  <c r="J54" i="1"/>
  <c r="S49" i="1"/>
  <c r="S48" i="1"/>
  <c r="J50" i="1"/>
  <c r="S50" i="1" s="1"/>
  <c r="AB47" i="1"/>
  <c r="P46" i="1"/>
  <c r="J46" i="1"/>
  <c r="P43" i="1"/>
  <c r="J43" i="1"/>
  <c r="P35" i="1"/>
  <c r="J35" i="1"/>
  <c r="P32" i="1" l="1"/>
  <c r="J32" i="1"/>
  <c r="P25" i="1"/>
  <c r="J25" i="1"/>
  <c r="P18" i="1"/>
  <c r="J18" i="1"/>
  <c r="P13" i="1"/>
  <c r="J13" i="1"/>
  <c r="AA57" i="1" l="1"/>
  <c r="X57" i="1"/>
  <c r="AA56" i="1"/>
  <c r="X56" i="1"/>
  <c r="Y52" i="1"/>
  <c r="AA53" i="1"/>
  <c r="X53" i="1"/>
  <c r="AA52" i="1"/>
  <c r="X52" i="1"/>
  <c r="AA45" i="1"/>
  <c r="X45" i="1"/>
  <c r="X39" i="1"/>
  <c r="AA42" i="1"/>
  <c r="X42" i="1"/>
  <c r="AA41" i="1"/>
  <c r="X41" i="1"/>
  <c r="AA40" i="1"/>
  <c r="X40" i="1"/>
  <c r="AA39" i="1"/>
  <c r="AA38" i="1"/>
  <c r="X38" i="1"/>
  <c r="AA37" i="1"/>
  <c r="X37" i="1"/>
  <c r="AA34" i="1" l="1"/>
  <c r="X34" i="1"/>
  <c r="AA31" i="1" l="1"/>
  <c r="X31" i="1" l="1"/>
  <c r="AA30" i="1"/>
  <c r="X30" i="1"/>
  <c r="AA29" i="1"/>
  <c r="X29" i="1"/>
  <c r="AA28" i="1"/>
  <c r="X28" i="1"/>
  <c r="AA27" i="1" l="1"/>
  <c r="X27" i="1"/>
  <c r="AA21" i="1"/>
  <c r="X21" i="1"/>
  <c r="AA23" i="1"/>
  <c r="X23" i="1"/>
  <c r="AA20" i="1"/>
  <c r="X20" i="1"/>
  <c r="AA22" i="1" l="1"/>
  <c r="X22" i="1"/>
  <c r="AA24" i="1" l="1"/>
  <c r="X24" i="1"/>
  <c r="AA17" i="1" l="1"/>
  <c r="X17" i="1"/>
  <c r="AA16" i="1" l="1"/>
  <c r="X16" i="1"/>
  <c r="AA15" i="1"/>
  <c r="X15" i="1"/>
  <c r="AB62" i="1" l="1"/>
  <c r="AB61" i="1"/>
  <c r="AB60" i="1"/>
  <c r="AB59" i="1"/>
  <c r="AB58" i="1"/>
  <c r="AB57" i="1"/>
  <c r="AB56" i="1"/>
  <c r="AB55" i="1"/>
  <c r="AB54" i="1"/>
  <c r="AB53" i="1"/>
  <c r="AB52" i="1"/>
  <c r="AB51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7" i="1"/>
  <c r="AB16" i="1"/>
  <c r="AB15" i="1"/>
  <c r="AB14" i="1"/>
  <c r="AB13" i="1"/>
  <c r="AA12" i="1" l="1"/>
  <c r="X12" i="1"/>
  <c r="AA11" i="1"/>
  <c r="X11" i="1"/>
  <c r="AB11" i="1" l="1"/>
  <c r="AB12" i="1"/>
  <c r="P58" i="1" l="1"/>
  <c r="S57" i="1"/>
  <c r="S56" i="1"/>
  <c r="J58" i="1"/>
  <c r="J61" i="1" s="1"/>
  <c r="S58" i="1" l="1"/>
  <c r="S13" i="1"/>
  <c r="P61" i="1"/>
  <c r="S61" i="1" s="1"/>
  <c r="S53" i="1" l="1"/>
  <c r="S52" i="1"/>
  <c r="S45" i="1"/>
  <c r="S42" i="1"/>
  <c r="S41" i="1"/>
  <c r="S40" i="1"/>
  <c r="S39" i="1"/>
  <c r="S38" i="1"/>
  <c r="S37" i="1"/>
  <c r="S34" i="1"/>
  <c r="S31" i="1"/>
  <c r="S30" i="1"/>
  <c r="S29" i="1"/>
  <c r="S28" i="1"/>
  <c r="S27" i="1"/>
  <c r="S24" i="1"/>
  <c r="S23" i="1"/>
  <c r="S22" i="1"/>
  <c r="S21" i="1"/>
  <c r="S20" i="1"/>
  <c r="S17" i="1"/>
  <c r="S16" i="1"/>
  <c r="S15" i="1"/>
  <c r="S11" i="1"/>
  <c r="S12" i="1"/>
  <c r="P62" i="1" l="1"/>
  <c r="S25" i="1"/>
  <c r="S32" i="1"/>
  <c r="S46" i="1"/>
  <c r="S43" i="1"/>
  <c r="S54" i="1"/>
  <c r="S18" i="1"/>
  <c r="S35" i="1" l="1"/>
  <c r="J62" i="1" l="1"/>
  <c r="S60" i="1" l="1"/>
  <c r="S62" i="1" s="1"/>
</calcChain>
</file>

<file path=xl/sharedStrings.xml><?xml version="1.0" encoding="utf-8"?>
<sst xmlns="http://schemas.openxmlformats.org/spreadsheetml/2006/main" count="529" uniqueCount="142">
  <si>
    <t>№</t>
  </si>
  <si>
    <t>Кем утверждена
(дата, номер
приказа)</t>
  </si>
  <si>
    <t>Наименование
мероприятия</t>
  </si>
  <si>
    <t>годы реализации
мероприятий</t>
  </si>
  <si>
    <t xml:space="preserve">1 полугодие </t>
  </si>
  <si>
    <t>2 полугодие</t>
  </si>
  <si>
    <t>Плановые параметры (показатели) мероприятия, объекта
инвестиционной программы, учтенной в предельной цене</t>
  </si>
  <si>
    <t>Единица
измерений</t>
  </si>
  <si>
    <t>Технические
параметры</t>
  </si>
  <si>
    <t>Сумма
инвестиций</t>
  </si>
  <si>
    <t>Источник
инвестиций</t>
  </si>
  <si>
    <t>Наименование показателей инвестиционной программы (проекта) 
(с указанием периода действия)</t>
  </si>
  <si>
    <t>Исполнение, фактические параметры (показатели) объекта инвестиционной программы, учтенной (ежеквартально, с нарастающим)</t>
  </si>
  <si>
    <t>Центральный аппарат</t>
  </si>
  <si>
    <t>шт.</t>
  </si>
  <si>
    <t>тыс.тенге</t>
  </si>
  <si>
    <t>работа</t>
  </si>
  <si>
    <t>Отклонения</t>
  </si>
  <si>
    <t>Причины отклонений</t>
  </si>
  <si>
    <t>Жамбылский производственный филиал</t>
  </si>
  <si>
    <t>Западно-Казахстанский производственный филиал</t>
  </si>
  <si>
    <t>Кызылординский производственный филиал</t>
  </si>
  <si>
    <t>Жетысуский производственный филиал</t>
  </si>
  <si>
    <t>Актюбинский производственный филиал</t>
  </si>
  <si>
    <t>объект</t>
  </si>
  <si>
    <t>Атырауский производственный филиал</t>
  </si>
  <si>
    <t>собственные средства</t>
  </si>
  <si>
    <t>Приложение 15
к Правилам ценообразования на общественно значимых рынках</t>
  </si>
  <si>
    <t>Руководитель</t>
  </si>
  <si>
    <t>ИТОГО</t>
  </si>
  <si>
    <t>Алматинский производственный филиал</t>
  </si>
  <si>
    <t>МФУ А4 (многофункциональное устройство)</t>
  </si>
  <si>
    <t>Системный блок</t>
  </si>
  <si>
    <t>Монитор</t>
  </si>
  <si>
    <t>ИБП</t>
  </si>
  <si>
    <t>25</t>
  </si>
  <si>
    <t xml:space="preserve">Монитор </t>
  </si>
  <si>
    <t>ВСЕГО АстПФ</t>
  </si>
  <si>
    <t xml:space="preserve">ВСЕГО </t>
  </si>
  <si>
    <t>ВСЕГО по ПФ</t>
  </si>
  <si>
    <t>договор</t>
  </si>
  <si>
    <t>№, дата ЭСФ</t>
  </si>
  <si>
    <t>сумма ЭСФ</t>
  </si>
  <si>
    <t>№592511/2021/1 от 08.09.2021 г.</t>
  </si>
  <si>
    <t>кол-во</t>
  </si>
  <si>
    <t>сумма договора, без НДС</t>
  </si>
  <si>
    <t>№1255 от 01.10.2021</t>
  </si>
  <si>
    <t>ПРОВЕРКА</t>
  </si>
  <si>
    <t>Контрагент</t>
  </si>
  <si>
    <t>ТОО "Софтлайн Трэйд"</t>
  </si>
  <si>
    <t>ТОО "SmartHighTech"</t>
  </si>
  <si>
    <t>ТОО "АЛСИ"</t>
  </si>
  <si>
    <t>ТОО "DIMIRUS"</t>
  </si>
  <si>
    <t>ИП "IT-CUBE"</t>
  </si>
  <si>
    <t>№551407/2021/1 от 08.04.2021 г.</t>
  </si>
  <si>
    <t>№572125/2021/1 от 28.04.2021 г.</t>
  </si>
  <si>
    <t>№1211729 от 19.05.2021</t>
  </si>
  <si>
    <t>№74 от 21.04.2021</t>
  </si>
  <si>
    <t>№569046/2021/1-1 от 03.06.2021 г.</t>
  </si>
  <si>
    <t>№404 от 01.09.2021</t>
  </si>
  <si>
    <t>№543353/2021/1 от 09.03.2021 г.</t>
  </si>
  <si>
    <t>№1211350 от 22.04.2021</t>
  </si>
  <si>
    <t>№598497/2021/1 от 27.07.2021 г.</t>
  </si>
  <si>
    <t>№444 от 31.08.2021</t>
  </si>
  <si>
    <t>№568854/2021/1 от 14.05.2021 г.</t>
  </si>
  <si>
    <t>№204 от 03.06.2021</t>
  </si>
  <si>
    <t>№590618/2021/1 от 28.07.2021 г.</t>
  </si>
  <si>
    <t>№443 от 31.08.2021</t>
  </si>
  <si>
    <t>№585231/2021/1 от 09.06.2021 г.
№630186/2021/1 от 12.10.2021 г.</t>
  </si>
  <si>
    <t>№585231/2021/1 от 09.06.2021 г.</t>
  </si>
  <si>
    <t>№1212230 от 23.11.2021</t>
  </si>
  <si>
    <t>№124111 от 23.11.2021
№1212230 от 23.11.2021</t>
  </si>
  <si>
    <t>ИП Есенгали</t>
  </si>
  <si>
    <t>№638676/2021/1 от 16.11.2021 г.</t>
  </si>
  <si>
    <t>№2 от 22.12.2021</t>
  </si>
  <si>
    <t>ТОО "Айым и К"</t>
  </si>
  <si>
    <t>№555124/2021/1 от 06.05.2021 г.</t>
  </si>
  <si>
    <t>№31 от  29.06.2021</t>
  </si>
  <si>
    <t>ТОО "КазТрансКомплекс"</t>
  </si>
  <si>
    <t>№570366/2021/1 от 19.05.2021 г.</t>
  </si>
  <si>
    <t>№56 от  29.06.2021</t>
  </si>
  <si>
    <t>№439 от  10.09.2021</t>
  </si>
  <si>
    <t>№598066/2021/1 от 03.07.2021 г.</t>
  </si>
  <si>
    <t>№1212552 от  27.07.2021</t>
  </si>
  <si>
    <t>ТОО "ТЕХНО КZ"</t>
  </si>
  <si>
    <t>№610054/2021/1 от 26.08.2021 г.</t>
  </si>
  <si>
    <t>№83 от  09.10.2021</t>
  </si>
  <si>
    <t>ТОО "BREM group"</t>
  </si>
  <si>
    <t>№610053/2021/1 от 25.08.2021 г.</t>
  </si>
  <si>
    <t>№45 от  04.10.2021</t>
  </si>
  <si>
    <t>ТОО "SmartHighTech"
ТОО "Техно Комп"</t>
  </si>
  <si>
    <t>№598310/2021/2 от 02.08.2021 г.
№654506/2021/1 от 30.12.2021 г.</t>
  </si>
  <si>
    <t>ТОО "СтройРекламПроект"
ТОО "Западно - Казахстанская комплексная
вневедомоственная экспертиза"</t>
  </si>
  <si>
    <t>№541818/2021/1 от 04.05.2021 г.
№619106/2021/1 от 09.11.2021 г.</t>
  </si>
  <si>
    <t>ТОО "Торгово-Строительная Компания "Байлык"</t>
  </si>
  <si>
    <t>№581202/2021/1-1 от 22.10.2021 г.</t>
  </si>
  <si>
    <t>№14 от 14.09.2021
№24 от 22.10.2021</t>
  </si>
  <si>
    <t>ТОО "Зере-Сервис.Групп"</t>
  </si>
  <si>
    <t>№569570/2021/1 от 19.05.2021 г.</t>
  </si>
  <si>
    <t>№43 от 31.05.2021</t>
  </si>
  <si>
    <t>№67 от  15.10.2021
№120 от  24.12.2021</t>
  </si>
  <si>
    <t>ТОО "PolyComm"</t>
  </si>
  <si>
    <t>№638069/2021/1 от 25.11.2021 г.</t>
  </si>
  <si>
    <t>№106 от 14.12.2021</t>
  </si>
  <si>
    <t>№635793/2021/1 от 23.11.2021 г.</t>
  </si>
  <si>
    <t>№331 от 20.12.2021</t>
  </si>
  <si>
    <t>Информация 
АО "КазТрансГаз Аймак" БИН 020440001144 об исполнении либо неисполнении инвестиционной программы (проекта), учтенной в предельной цене по виду "Розничная реализация товарного газа" ОКЭД 35230 
за период с 01.02.2022 г. по 31.01.2023 г. (за период 01.02.2022 г. - 30.06.2022 г.)</t>
  </si>
  <si>
    <t>Серверное оборудование HPE Synergy 12000 Frame</t>
  </si>
  <si>
    <t>Серверное оборудование HPE Synergy 480 Gen10</t>
  </si>
  <si>
    <t>Письмо КРЕМ МНЭ РК № 32-9-12/119-И от 31.01.2022 г.</t>
  </si>
  <si>
    <t>01.02.2022г.- 30.06.2022г.</t>
  </si>
  <si>
    <t>01.07.2022г.- 31.01.2023г.</t>
  </si>
  <si>
    <t>Исполнение ожидается в конце периода утверждения - 31.01.2023г.</t>
  </si>
  <si>
    <t>Система хранения данных ХД HPE MSA 2060 16Gb FC LFF Strg 60, HPE MSA 60TB SAS 7.2K LFF M2 6pk HDD Bdl, HPE MSA 16Gb SW FC SFP 4pk XCVR+ полки с дисками</t>
  </si>
  <si>
    <t>Сервер HPE DL360 Gen10 5218 1P 32G NC 8SFF Svr, RAM 1x 32 ГБ, SFF 2.5", HDD 10x 1.2TB
12G SAS 10K 2.5in</t>
  </si>
  <si>
    <t>Источник бесперебойного питания Smart 5000 Вт.</t>
  </si>
  <si>
    <t>Газовый котел напольный (не менее 45 кВт)</t>
  </si>
  <si>
    <t>Газовый котел напольный (не менее 55 кВт)</t>
  </si>
  <si>
    <t>Sip-телефон Yealink SIP-T21 E2</t>
  </si>
  <si>
    <t>Системный блок. Dell Optiplex 3070 MT / i5-9500 / 8GB DDR4-2666/
M.2 128GB PCIe NVMe SSD / 500GB 7200rpm HDD /
260W PSU / Wireless Keyboard and Mouse /
Windows 10 Pro / 5Y Warranty</t>
  </si>
  <si>
    <t>Монитор Dell 24 Monitor - P2419H - 60.5cm(23.8") Black</t>
  </si>
  <si>
    <t>Маршрутизатор</t>
  </si>
  <si>
    <t>Система SpRecord AТ2</t>
  </si>
  <si>
    <t>10</t>
  </si>
  <si>
    <t>6</t>
  </si>
  <si>
    <t>Ремонт здания Таласского ГХ</t>
  </si>
  <si>
    <t>Цветное МФУ</t>
  </si>
  <si>
    <t>МФП Canon</t>
  </si>
  <si>
    <t>МФУ Xerox</t>
  </si>
  <si>
    <t>Ремонт склада и гаража Акжаикского ГХ, расположенного по адресу: ЗКО, Акжаикский район, п.Чапаево</t>
  </si>
  <si>
    <t xml:space="preserve">Капитальный ремонт газового участка пр.Абая, 51/66, г.Кызылорда </t>
  </si>
  <si>
    <t>Костананайский производственный филиал</t>
  </si>
  <si>
    <t>Замена инженерных сетей в здание АБК ул. Алтынсарина, 130 г. Костанай</t>
  </si>
  <si>
    <t>Комплексные работы "Реконструкция здания ФОК под здание архива ул. Алтынсарина, 130 г. Костанай "</t>
  </si>
  <si>
    <t>Карагандинский производственный филиал</t>
  </si>
  <si>
    <t>Система хранения данных</t>
  </si>
  <si>
    <t xml:space="preserve">Устройство многофункциональное </t>
  </si>
  <si>
    <t>01.01.2022г.- 30.06.2022г.</t>
  </si>
  <si>
    <t>01.07.2022г.- 31.10.2022г.</t>
  </si>
  <si>
    <t>Исполнение ожидается в конце периода утверждения - 31.10.2022г.</t>
  </si>
  <si>
    <t>Письмо КРЕМ МНЭ РК № 43-1-43/7750 от 05.11.2021 г.</t>
  </si>
  <si>
    <t>Письмо КРЕМ МНЭ РК №  43-1-43/7750 от 05.11.2021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</si>
</sst>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1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0" fillId="0" borderId="0"/>
    <xf numFmtId="165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</cellStyleXfs>
  <cellXfs count="63"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wrapText="1"/>
    </xf>
    <xf numFmtId="0" fontId="0" fillId="0" borderId="0" xfId="0" applyFont="1" applyFill="1"/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4" fontId="0" fillId="0" borderId="0" xfId="0" applyNumberFormat="1" applyFont="1" applyFill="1"/>
    <xf numFmtId="4" fontId="6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12" fillId="0" borderId="1" xfId="9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3" fontId="7" fillId="0" borderId="1" xfId="13" applyNumberFormat="1" applyFont="1" applyFill="1" applyBorder="1" applyAlignment="1">
      <alignment horizontal="center" vertical="center" wrapText="1"/>
    </xf>
    <xf numFmtId="3" fontId="6" fillId="0" borderId="1" xfId="11" applyNumberFormat="1" applyFont="1" applyFill="1" applyBorder="1" applyAlignment="1">
      <alignment horizontal="center" vertical="center" wrapText="1" shrinkToFit="1"/>
    </xf>
    <xf numFmtId="3" fontId="6" fillId="0" borderId="1" xfId="14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/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17">
    <cellStyle name="Обычный" xfId="0" builtinId="0"/>
    <cellStyle name="Обычный 108 2" xfId="7"/>
    <cellStyle name="Обычный 123" xfId="13"/>
    <cellStyle name="Обычный 129 12" xfId="6"/>
    <cellStyle name="Обычный 131 21" xfId="15"/>
    <cellStyle name="Обычный 2 10 2 2 3" xfId="2"/>
    <cellStyle name="Обычный 2 49" xfId="5"/>
    <cellStyle name="Обычный 2 49 3" xfId="1"/>
    <cellStyle name="Обычный 231" xfId="8"/>
    <cellStyle name="Обычный 231 3" xfId="9"/>
    <cellStyle name="Обычный 3" xfId="12"/>
    <cellStyle name="Обычный 8" xfId="4"/>
    <cellStyle name="Финансовый" xfId="11" builtinId="3"/>
    <cellStyle name="Финансовый 11 17" xfId="16"/>
    <cellStyle name="Финансовый 120 3" xfId="10"/>
    <cellStyle name="Финансовый 2 48 2" xfId="14"/>
    <cellStyle name="Финансовый 2 64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E69"/>
  <sheetViews>
    <sheetView tabSelected="1" view="pageBreakPreview" topLeftCell="A3" zoomScale="55" zoomScaleNormal="100" zoomScaleSheetLayoutView="55" workbookViewId="0">
      <pane xSplit="4" ySplit="6" topLeftCell="E42" activePane="bottomRight" state="frozen"/>
      <selection activeCell="A3" sqref="A3"/>
      <selection pane="topRight" activeCell="E3" sqref="E3"/>
      <selection pane="bottomLeft" activeCell="A7" sqref="A7"/>
      <selection pane="bottomRight" activeCell="C56" sqref="C56:C57"/>
    </sheetView>
  </sheetViews>
  <sheetFormatPr defaultRowHeight="15" outlineLevelCol="1" x14ac:dyDescent="0.25"/>
  <cols>
    <col min="1" max="1" width="7.42578125" style="2" customWidth="1"/>
    <col min="2" max="2" width="43.42578125" style="2" customWidth="1"/>
    <col min="3" max="3" width="24" style="2" customWidth="1"/>
    <col min="4" max="4" width="43.42578125" style="3" customWidth="1"/>
    <col min="5" max="6" width="13.140625" style="2" customWidth="1"/>
    <col min="7" max="7" width="13.5703125" style="3" customWidth="1"/>
    <col min="8" max="8" width="12.7109375" style="3" customWidth="1"/>
    <col min="9" max="11" width="11.7109375" style="3" customWidth="1"/>
    <col min="12" max="12" width="12.85546875" style="3" customWidth="1"/>
    <col min="13" max="13" width="13.7109375" style="3" customWidth="1"/>
    <col min="14" max="14" width="12.42578125" style="3" customWidth="1"/>
    <col min="15" max="16" width="11.7109375" style="3" customWidth="1"/>
    <col min="17" max="17" width="11.7109375" style="2" customWidth="1"/>
    <col min="18" max="18" width="12.5703125" style="2" customWidth="1"/>
    <col min="19" max="19" width="13.5703125" style="2" customWidth="1"/>
    <col min="20" max="20" width="39.140625" style="2" customWidth="1"/>
    <col min="21" max="21" width="3" style="2" customWidth="1"/>
    <col min="22" max="27" width="16" style="3" hidden="1" customWidth="1" outlineLevel="1"/>
    <col min="28" max="28" width="13.5703125" style="2" hidden="1" customWidth="1" outlineLevel="1"/>
    <col min="29" max="29" width="13.5703125" style="2" customWidth="1" collapsed="1"/>
    <col min="30" max="30" width="13.5703125" style="2" customWidth="1"/>
    <col min="31" max="31" width="19.28515625" style="2" customWidth="1"/>
    <col min="32" max="16384" width="9.140625" style="2"/>
  </cols>
  <sheetData>
    <row r="3" spans="1:31" ht="45" x14ac:dyDescent="0.25">
      <c r="T3" s="4" t="s">
        <v>27</v>
      </c>
    </row>
    <row r="5" spans="1:31" ht="53.25" customHeight="1" x14ac:dyDescent="0.25">
      <c r="A5" s="59" t="s">
        <v>106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7" spans="1:31" ht="29.25" customHeight="1" x14ac:dyDescent="0.25">
      <c r="A7" s="60" t="s">
        <v>0</v>
      </c>
      <c r="B7" s="58" t="s">
        <v>11</v>
      </c>
      <c r="C7" s="58" t="s">
        <v>1</v>
      </c>
      <c r="D7" s="58" t="s">
        <v>2</v>
      </c>
      <c r="E7" s="58" t="s">
        <v>3</v>
      </c>
      <c r="F7" s="58"/>
      <c r="G7" s="58" t="s">
        <v>6</v>
      </c>
      <c r="H7" s="58"/>
      <c r="I7" s="58"/>
      <c r="J7" s="58"/>
      <c r="K7" s="58"/>
      <c r="L7" s="58"/>
      <c r="M7" s="58" t="s">
        <v>12</v>
      </c>
      <c r="N7" s="58"/>
      <c r="O7" s="58"/>
      <c r="P7" s="58"/>
      <c r="Q7" s="58"/>
      <c r="R7" s="58"/>
      <c r="S7" s="58" t="s">
        <v>17</v>
      </c>
      <c r="T7" s="58" t="s">
        <v>18</v>
      </c>
    </row>
    <row r="8" spans="1:31" ht="45" x14ac:dyDescent="0.25">
      <c r="A8" s="60"/>
      <c r="B8" s="58"/>
      <c r="C8" s="58"/>
      <c r="D8" s="58"/>
      <c r="E8" s="16" t="s">
        <v>4</v>
      </c>
      <c r="F8" s="16" t="s">
        <v>5</v>
      </c>
      <c r="G8" s="15" t="s">
        <v>7</v>
      </c>
      <c r="H8" s="15" t="s">
        <v>8</v>
      </c>
      <c r="I8" s="15" t="s">
        <v>7</v>
      </c>
      <c r="J8" s="15" t="s">
        <v>9</v>
      </c>
      <c r="K8" s="15" t="s">
        <v>7</v>
      </c>
      <c r="L8" s="15" t="s">
        <v>10</v>
      </c>
      <c r="M8" s="15" t="s">
        <v>7</v>
      </c>
      <c r="N8" s="15" t="s">
        <v>8</v>
      </c>
      <c r="O8" s="15" t="s">
        <v>7</v>
      </c>
      <c r="P8" s="15" t="s">
        <v>9</v>
      </c>
      <c r="Q8" s="15" t="s">
        <v>7</v>
      </c>
      <c r="R8" s="15" t="s">
        <v>10</v>
      </c>
      <c r="S8" s="58"/>
      <c r="T8" s="58"/>
      <c r="U8" s="33"/>
      <c r="V8" s="34" t="s">
        <v>48</v>
      </c>
      <c r="W8" s="34" t="s">
        <v>40</v>
      </c>
      <c r="X8" s="34" t="s">
        <v>45</v>
      </c>
      <c r="Y8" s="34" t="s">
        <v>44</v>
      </c>
      <c r="Z8" s="34" t="s">
        <v>41</v>
      </c>
      <c r="AA8" s="34" t="s">
        <v>42</v>
      </c>
      <c r="AB8" s="35" t="s">
        <v>47</v>
      </c>
      <c r="AC8" s="3"/>
      <c r="AD8" s="3"/>
      <c r="AE8" s="3"/>
    </row>
    <row r="9" spans="1:31" x14ac:dyDescent="0.25">
      <c r="A9" s="16"/>
      <c r="B9" s="15"/>
      <c r="C9" s="15"/>
      <c r="D9" s="15"/>
      <c r="E9" s="16"/>
      <c r="F9" s="16"/>
      <c r="G9" s="15"/>
      <c r="H9" s="15"/>
      <c r="I9" s="15"/>
      <c r="J9" s="15"/>
      <c r="K9" s="15"/>
      <c r="L9" s="15"/>
      <c r="M9" s="15"/>
      <c r="N9" s="15"/>
      <c r="O9" s="15"/>
      <c r="P9" s="15"/>
      <c r="Q9" s="29"/>
      <c r="R9" s="29"/>
      <c r="S9" s="29"/>
      <c r="T9" s="29"/>
      <c r="V9" s="29"/>
      <c r="W9" s="29"/>
      <c r="X9" s="29"/>
      <c r="Y9" s="29"/>
      <c r="Z9" s="29"/>
      <c r="AA9" s="29"/>
      <c r="AB9" s="36"/>
    </row>
    <row r="10" spans="1:31" s="5" customFormat="1" x14ac:dyDescent="0.25">
      <c r="A10" s="51" t="s">
        <v>13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V10" s="10"/>
      <c r="W10" s="10"/>
      <c r="X10" s="10"/>
      <c r="Y10" s="10"/>
      <c r="Z10" s="10"/>
      <c r="AA10" s="10"/>
      <c r="AB10" s="37"/>
    </row>
    <row r="11" spans="1:31" s="5" customFormat="1" ht="30" x14ac:dyDescent="0.25">
      <c r="A11" s="11">
        <v>1</v>
      </c>
      <c r="B11" s="20" t="s">
        <v>107</v>
      </c>
      <c r="C11" s="61" t="s">
        <v>109</v>
      </c>
      <c r="D11" s="20" t="s">
        <v>107</v>
      </c>
      <c r="E11" s="17" t="s">
        <v>110</v>
      </c>
      <c r="F11" s="17" t="s">
        <v>111</v>
      </c>
      <c r="G11" s="1" t="s">
        <v>14</v>
      </c>
      <c r="H11" s="11">
        <v>1</v>
      </c>
      <c r="I11" s="1" t="s">
        <v>15</v>
      </c>
      <c r="J11" s="6">
        <v>123012.52432</v>
      </c>
      <c r="K11" s="1" t="s">
        <v>15</v>
      </c>
      <c r="L11" s="7" t="s">
        <v>26</v>
      </c>
      <c r="M11" s="1" t="s">
        <v>14</v>
      </c>
      <c r="N11" s="1"/>
      <c r="O11" s="1" t="s">
        <v>15</v>
      </c>
      <c r="P11" s="6"/>
      <c r="Q11" s="1" t="s">
        <v>15</v>
      </c>
      <c r="R11" s="7" t="s">
        <v>26</v>
      </c>
      <c r="S11" s="6">
        <f t="shared" ref="S11:S12" si="0">P11-J11</f>
        <v>-123012.52432</v>
      </c>
      <c r="T11" s="32" t="s">
        <v>112</v>
      </c>
      <c r="V11" s="62" t="s">
        <v>49</v>
      </c>
      <c r="W11" s="38" t="s">
        <v>43</v>
      </c>
      <c r="X11" s="39">
        <f>57120672/1.12</f>
        <v>51000599.999999993</v>
      </c>
      <c r="Y11" s="39">
        <v>20</v>
      </c>
      <c r="Z11" s="39" t="s">
        <v>46</v>
      </c>
      <c r="AA11" s="39">
        <f>51000600</f>
        <v>51000600</v>
      </c>
      <c r="AB11" s="39">
        <f>AA11-X11</f>
        <v>0</v>
      </c>
    </row>
    <row r="12" spans="1:31" s="5" customFormat="1" ht="30" x14ac:dyDescent="0.25">
      <c r="A12" s="11">
        <v>2</v>
      </c>
      <c r="B12" s="20" t="s">
        <v>108</v>
      </c>
      <c r="C12" s="61"/>
      <c r="D12" s="20" t="s">
        <v>108</v>
      </c>
      <c r="E12" s="48" t="s">
        <v>110</v>
      </c>
      <c r="F12" s="48" t="s">
        <v>111</v>
      </c>
      <c r="G12" s="1" t="s">
        <v>14</v>
      </c>
      <c r="H12" s="11">
        <v>3</v>
      </c>
      <c r="I12" s="1" t="s">
        <v>15</v>
      </c>
      <c r="J12" s="6">
        <v>251487.45</v>
      </c>
      <c r="K12" s="1" t="s">
        <v>15</v>
      </c>
      <c r="L12" s="7" t="s">
        <v>26</v>
      </c>
      <c r="M12" s="1" t="s">
        <v>14</v>
      </c>
      <c r="N12" s="1"/>
      <c r="O12" s="1" t="s">
        <v>15</v>
      </c>
      <c r="P12" s="6"/>
      <c r="Q12" s="1" t="s">
        <v>15</v>
      </c>
      <c r="R12" s="7" t="s">
        <v>26</v>
      </c>
      <c r="S12" s="6">
        <f t="shared" si="0"/>
        <v>-251487.45</v>
      </c>
      <c r="T12" s="48" t="s">
        <v>112</v>
      </c>
      <c r="V12" s="62"/>
      <c r="W12" s="38" t="s">
        <v>43</v>
      </c>
      <c r="X12" s="39">
        <f>4571840/1.12</f>
        <v>4081999.9999999995</v>
      </c>
      <c r="Y12" s="39">
        <v>1</v>
      </c>
      <c r="Z12" s="39" t="s">
        <v>46</v>
      </c>
      <c r="AA12" s="39">
        <f>4082000</f>
        <v>4082000</v>
      </c>
      <c r="AB12" s="39">
        <f t="shared" ref="AB12" si="1">AA12-X12</f>
        <v>0</v>
      </c>
    </row>
    <row r="13" spans="1:31" s="5" customFormat="1" x14ac:dyDescent="0.25">
      <c r="A13" s="23"/>
      <c r="B13" s="18" t="s">
        <v>29</v>
      </c>
      <c r="C13" s="8"/>
      <c r="D13" s="18"/>
      <c r="E13" s="1"/>
      <c r="F13" s="17"/>
      <c r="G13" s="17"/>
      <c r="H13" s="7"/>
      <c r="I13" s="1"/>
      <c r="J13" s="9">
        <f>SUM(J11:J12)</f>
        <v>374499.97432000004</v>
      </c>
      <c r="K13" s="1"/>
      <c r="L13" s="7"/>
      <c r="M13" s="17"/>
      <c r="N13" s="1"/>
      <c r="O13" s="1"/>
      <c r="P13" s="9">
        <f>SUM(P11:P12)</f>
        <v>0</v>
      </c>
      <c r="Q13" s="1"/>
      <c r="R13" s="7"/>
      <c r="S13" s="9">
        <f>P13-J13</f>
        <v>-374499.97432000004</v>
      </c>
      <c r="T13" s="17"/>
      <c r="U13" s="12"/>
      <c r="V13" s="10"/>
      <c r="W13" s="38"/>
      <c r="X13" s="39"/>
      <c r="Y13" s="39"/>
      <c r="Z13" s="39"/>
      <c r="AA13" s="39"/>
      <c r="AB13" s="39">
        <f t="shared" ref="AB13:AB34" si="2">AA13-X13</f>
        <v>0</v>
      </c>
    </row>
    <row r="14" spans="1:31" s="5" customFormat="1" x14ac:dyDescent="0.25">
      <c r="A14" s="51" t="s">
        <v>30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12"/>
      <c r="V14" s="10"/>
      <c r="W14" s="38"/>
      <c r="X14" s="39"/>
      <c r="Y14" s="39"/>
      <c r="Z14" s="39"/>
      <c r="AA14" s="39"/>
      <c r="AB14" s="39">
        <f t="shared" si="2"/>
        <v>0</v>
      </c>
    </row>
    <row r="15" spans="1:31" s="5" customFormat="1" ht="75" x14ac:dyDescent="0.25">
      <c r="A15" s="11">
        <v>1</v>
      </c>
      <c r="B15" s="20" t="s">
        <v>113</v>
      </c>
      <c r="C15" s="53" t="s">
        <v>109</v>
      </c>
      <c r="D15" s="20" t="s">
        <v>113</v>
      </c>
      <c r="E15" s="48" t="s">
        <v>110</v>
      </c>
      <c r="F15" s="48" t="s">
        <v>111</v>
      </c>
      <c r="G15" s="11" t="s">
        <v>14</v>
      </c>
      <c r="H15" s="11">
        <v>1</v>
      </c>
      <c r="I15" s="1" t="s">
        <v>15</v>
      </c>
      <c r="J15" s="6">
        <v>30000</v>
      </c>
      <c r="K15" s="1" t="s">
        <v>15</v>
      </c>
      <c r="L15" s="7" t="s">
        <v>26</v>
      </c>
      <c r="M15" s="11" t="s">
        <v>14</v>
      </c>
      <c r="N15" s="6"/>
      <c r="O15" s="1" t="s">
        <v>15</v>
      </c>
      <c r="P15" s="13"/>
      <c r="Q15" s="1" t="s">
        <v>15</v>
      </c>
      <c r="R15" s="7" t="s">
        <v>26</v>
      </c>
      <c r="S15" s="6">
        <f t="shared" ref="S15:S17" si="3">P15-J15</f>
        <v>-30000</v>
      </c>
      <c r="T15" s="48" t="s">
        <v>112</v>
      </c>
      <c r="U15" s="12"/>
      <c r="V15" s="38" t="s">
        <v>53</v>
      </c>
      <c r="W15" s="38" t="s">
        <v>54</v>
      </c>
      <c r="X15" s="40">
        <f>1534400/1.12</f>
        <v>1369999.9999999998</v>
      </c>
      <c r="Y15" s="40">
        <v>1</v>
      </c>
      <c r="Z15" s="40" t="s">
        <v>57</v>
      </c>
      <c r="AA15" s="40">
        <f>1534400/1.12</f>
        <v>1369999.9999999998</v>
      </c>
      <c r="AB15" s="40">
        <f t="shared" si="2"/>
        <v>0</v>
      </c>
    </row>
    <row r="16" spans="1:31" s="5" customFormat="1" ht="60" x14ac:dyDescent="0.25">
      <c r="A16" s="11">
        <v>2</v>
      </c>
      <c r="B16" s="20" t="s">
        <v>114</v>
      </c>
      <c r="C16" s="53"/>
      <c r="D16" s="20" t="s">
        <v>114</v>
      </c>
      <c r="E16" s="48" t="s">
        <v>110</v>
      </c>
      <c r="F16" s="48" t="s">
        <v>111</v>
      </c>
      <c r="G16" s="11" t="s">
        <v>14</v>
      </c>
      <c r="H16" s="11">
        <v>1</v>
      </c>
      <c r="I16" s="1" t="s">
        <v>15</v>
      </c>
      <c r="J16" s="6">
        <v>5100</v>
      </c>
      <c r="K16" s="1" t="s">
        <v>15</v>
      </c>
      <c r="L16" s="7" t="s">
        <v>26</v>
      </c>
      <c r="M16" s="11" t="s">
        <v>14</v>
      </c>
      <c r="N16" s="6"/>
      <c r="O16" s="1" t="s">
        <v>15</v>
      </c>
      <c r="P16" s="13"/>
      <c r="Q16" s="1" t="s">
        <v>15</v>
      </c>
      <c r="R16" s="7" t="s">
        <v>26</v>
      </c>
      <c r="S16" s="6">
        <f t="shared" si="3"/>
        <v>-5100</v>
      </c>
      <c r="T16" s="48" t="s">
        <v>112</v>
      </c>
      <c r="U16" s="12"/>
      <c r="V16" s="38" t="s">
        <v>53</v>
      </c>
      <c r="W16" s="38" t="s">
        <v>54</v>
      </c>
      <c r="X16" s="40">
        <f>1411200/1.12</f>
        <v>1259999.9999999998</v>
      </c>
      <c r="Y16" s="40">
        <v>9</v>
      </c>
      <c r="Z16" s="40" t="s">
        <v>57</v>
      </c>
      <c r="AA16" s="40">
        <f>1411200/1.12</f>
        <v>1259999.9999999998</v>
      </c>
      <c r="AB16" s="40">
        <f t="shared" si="2"/>
        <v>0</v>
      </c>
    </row>
    <row r="17" spans="1:28" s="5" customFormat="1" ht="30" x14ac:dyDescent="0.25">
      <c r="A17" s="11">
        <v>3</v>
      </c>
      <c r="B17" s="20" t="s">
        <v>115</v>
      </c>
      <c r="C17" s="53"/>
      <c r="D17" s="20" t="s">
        <v>115</v>
      </c>
      <c r="E17" s="48" t="s">
        <v>110</v>
      </c>
      <c r="F17" s="48" t="s">
        <v>111</v>
      </c>
      <c r="G17" s="11" t="s">
        <v>14</v>
      </c>
      <c r="H17" s="11">
        <v>1</v>
      </c>
      <c r="I17" s="1" t="s">
        <v>15</v>
      </c>
      <c r="J17" s="6">
        <v>2140</v>
      </c>
      <c r="K17" s="1" t="s">
        <v>15</v>
      </c>
      <c r="L17" s="7" t="s">
        <v>26</v>
      </c>
      <c r="M17" s="11" t="s">
        <v>14</v>
      </c>
      <c r="N17" s="6"/>
      <c r="O17" s="1" t="s">
        <v>15</v>
      </c>
      <c r="P17" s="13"/>
      <c r="Q17" s="1" t="s">
        <v>15</v>
      </c>
      <c r="R17" s="7" t="s">
        <v>26</v>
      </c>
      <c r="S17" s="6">
        <f t="shared" si="3"/>
        <v>-2140</v>
      </c>
      <c r="T17" s="48" t="s">
        <v>112</v>
      </c>
      <c r="U17" s="12"/>
      <c r="V17" s="38" t="s">
        <v>51</v>
      </c>
      <c r="W17" s="38" t="s">
        <v>55</v>
      </c>
      <c r="X17" s="40">
        <f>8560048/1.12</f>
        <v>7642899.9999999991</v>
      </c>
      <c r="Y17" s="40">
        <v>25</v>
      </c>
      <c r="Z17" s="40" t="s">
        <v>56</v>
      </c>
      <c r="AA17" s="40">
        <f>8560048/1.12</f>
        <v>7642899.9999999991</v>
      </c>
      <c r="AB17" s="40">
        <f t="shared" si="2"/>
        <v>0</v>
      </c>
    </row>
    <row r="18" spans="1:28" s="5" customFormat="1" x14ac:dyDescent="0.25">
      <c r="A18" s="1"/>
      <c r="B18" s="18" t="s">
        <v>29</v>
      </c>
      <c r="C18" s="8"/>
      <c r="D18" s="25"/>
      <c r="E18" s="1"/>
      <c r="F18" s="17"/>
      <c r="G18" s="17"/>
      <c r="H18" s="7"/>
      <c r="I18" s="1"/>
      <c r="J18" s="9">
        <f>SUM(J15:J17)</f>
        <v>37240</v>
      </c>
      <c r="K18" s="1"/>
      <c r="L18" s="7"/>
      <c r="M18" s="17"/>
      <c r="N18" s="1"/>
      <c r="O18" s="1"/>
      <c r="P18" s="9">
        <f>SUM(P15:P17)</f>
        <v>0</v>
      </c>
      <c r="Q18" s="1"/>
      <c r="R18" s="7"/>
      <c r="S18" s="9">
        <f>P18-J18</f>
        <v>-37240</v>
      </c>
      <c r="T18" s="17"/>
      <c r="U18" s="12"/>
      <c r="V18" s="10"/>
      <c r="W18" s="38"/>
      <c r="X18" s="39"/>
      <c r="Y18" s="39"/>
      <c r="Z18" s="39"/>
      <c r="AA18" s="39"/>
      <c r="AB18" s="39"/>
    </row>
    <row r="19" spans="1:28" s="5" customFormat="1" x14ac:dyDescent="0.25">
      <c r="A19" s="51" t="s">
        <v>23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12"/>
      <c r="V19" s="10"/>
      <c r="W19" s="38"/>
      <c r="X19" s="39"/>
      <c r="Y19" s="39"/>
      <c r="Z19" s="39"/>
      <c r="AA19" s="39"/>
      <c r="AB19" s="39"/>
    </row>
    <row r="20" spans="1:28" s="5" customFormat="1" ht="30" x14ac:dyDescent="0.25">
      <c r="A20" s="22">
        <v>1</v>
      </c>
      <c r="B20" s="24" t="s">
        <v>116</v>
      </c>
      <c r="C20" s="53" t="s">
        <v>109</v>
      </c>
      <c r="D20" s="24" t="s">
        <v>116</v>
      </c>
      <c r="E20" s="48" t="s">
        <v>110</v>
      </c>
      <c r="F20" s="48" t="s">
        <v>111</v>
      </c>
      <c r="G20" s="50" t="s">
        <v>14</v>
      </c>
      <c r="H20" s="7">
        <v>4</v>
      </c>
      <c r="I20" s="1" t="s">
        <v>15</v>
      </c>
      <c r="J20" s="6">
        <v>2317.8571428571399</v>
      </c>
      <c r="K20" s="1" t="s">
        <v>15</v>
      </c>
      <c r="L20" s="7" t="s">
        <v>26</v>
      </c>
      <c r="M20" s="50" t="s">
        <v>14</v>
      </c>
      <c r="N20" s="6"/>
      <c r="O20" s="1" t="s">
        <v>15</v>
      </c>
      <c r="P20" s="13"/>
      <c r="Q20" s="1" t="s">
        <v>15</v>
      </c>
      <c r="R20" s="7" t="s">
        <v>26</v>
      </c>
      <c r="S20" s="6">
        <f t="shared" ref="S20:S24" si="4">P20-J20</f>
        <v>-2317.8571428571399</v>
      </c>
      <c r="T20" s="48" t="s">
        <v>112</v>
      </c>
      <c r="U20" s="12"/>
      <c r="V20" s="41" t="s">
        <v>51</v>
      </c>
      <c r="W20" s="41" t="s">
        <v>60</v>
      </c>
      <c r="X20" s="42">
        <f>(1246000.9+207666.82)/1.12</f>
        <v>1297917.607142857</v>
      </c>
      <c r="Y20" s="42">
        <v>14</v>
      </c>
      <c r="Z20" s="42" t="s">
        <v>61</v>
      </c>
      <c r="AA20" s="42">
        <f>(1246000.9+207666.82)/1.12</f>
        <v>1297917.607142857</v>
      </c>
      <c r="AB20" s="40">
        <f t="shared" si="2"/>
        <v>0</v>
      </c>
    </row>
    <row r="21" spans="1:28" s="5" customFormat="1" ht="30" x14ac:dyDescent="0.25">
      <c r="A21" s="22">
        <v>2</v>
      </c>
      <c r="B21" s="24" t="s">
        <v>117</v>
      </c>
      <c r="C21" s="53"/>
      <c r="D21" s="24" t="s">
        <v>117</v>
      </c>
      <c r="E21" s="48" t="s">
        <v>110</v>
      </c>
      <c r="F21" s="48" t="s">
        <v>111</v>
      </c>
      <c r="G21" s="50" t="s">
        <v>14</v>
      </c>
      <c r="H21" s="7">
        <v>5</v>
      </c>
      <c r="I21" s="1" t="s">
        <v>15</v>
      </c>
      <c r="J21" s="6">
        <v>2500</v>
      </c>
      <c r="K21" s="1" t="s">
        <v>15</v>
      </c>
      <c r="L21" s="7" t="s">
        <v>26</v>
      </c>
      <c r="M21" s="50" t="s">
        <v>14</v>
      </c>
      <c r="N21" s="6"/>
      <c r="O21" s="1" t="s">
        <v>15</v>
      </c>
      <c r="P21" s="13"/>
      <c r="Q21" s="1" t="s">
        <v>15</v>
      </c>
      <c r="R21" s="7" t="s">
        <v>26</v>
      </c>
      <c r="S21" s="6">
        <f t="shared" si="4"/>
        <v>-2500</v>
      </c>
      <c r="T21" s="48" t="s">
        <v>112</v>
      </c>
      <c r="U21" s="12"/>
      <c r="V21" s="41" t="s">
        <v>51</v>
      </c>
      <c r="W21" s="41" t="s">
        <v>60</v>
      </c>
      <c r="X21" s="40">
        <f>(1737759.3+758353.79)/1.12</f>
        <v>2228672.4017857141</v>
      </c>
      <c r="Y21" s="40">
        <v>6</v>
      </c>
      <c r="Z21" s="42" t="s">
        <v>61</v>
      </c>
      <c r="AA21" s="42">
        <f>(1737759.3+758353.79)/1.12</f>
        <v>2228672.4017857141</v>
      </c>
      <c r="AB21" s="40">
        <f t="shared" si="2"/>
        <v>0</v>
      </c>
    </row>
    <row r="22" spans="1:28" s="5" customFormat="1" ht="30" x14ac:dyDescent="0.25">
      <c r="A22" s="22">
        <v>3</v>
      </c>
      <c r="B22" s="24" t="s">
        <v>118</v>
      </c>
      <c r="C22" s="53"/>
      <c r="D22" s="24" t="s">
        <v>118</v>
      </c>
      <c r="E22" s="48" t="s">
        <v>110</v>
      </c>
      <c r="F22" s="48" t="s">
        <v>111</v>
      </c>
      <c r="G22" s="50" t="s">
        <v>14</v>
      </c>
      <c r="H22" s="7">
        <v>20</v>
      </c>
      <c r="I22" s="1" t="s">
        <v>15</v>
      </c>
      <c r="J22" s="6">
        <v>563.20000000000005</v>
      </c>
      <c r="K22" s="1" t="s">
        <v>15</v>
      </c>
      <c r="L22" s="7" t="s">
        <v>26</v>
      </c>
      <c r="M22" s="50" t="s">
        <v>14</v>
      </c>
      <c r="N22" s="6"/>
      <c r="O22" s="1" t="s">
        <v>15</v>
      </c>
      <c r="P22" s="13"/>
      <c r="Q22" s="1" t="s">
        <v>15</v>
      </c>
      <c r="R22" s="7" t="s">
        <v>26</v>
      </c>
      <c r="S22" s="6">
        <f t="shared" si="4"/>
        <v>-563.20000000000005</v>
      </c>
      <c r="T22" s="48" t="s">
        <v>112</v>
      </c>
      <c r="U22" s="12"/>
      <c r="V22" s="41" t="s">
        <v>51</v>
      </c>
      <c r="W22" s="41" t="s">
        <v>60</v>
      </c>
      <c r="X22" s="42">
        <f>436482.59/1.12</f>
        <v>389716.59821428568</v>
      </c>
      <c r="Y22" s="42">
        <v>1</v>
      </c>
      <c r="Z22" s="42" t="s">
        <v>61</v>
      </c>
      <c r="AA22" s="42">
        <f>436482.59/1.12</f>
        <v>389716.59821428568</v>
      </c>
      <c r="AB22" s="40">
        <f t="shared" si="2"/>
        <v>0</v>
      </c>
    </row>
    <row r="23" spans="1:28" s="5" customFormat="1" ht="90" x14ac:dyDescent="0.25">
      <c r="A23" s="22">
        <v>4</v>
      </c>
      <c r="B23" s="24" t="s">
        <v>119</v>
      </c>
      <c r="C23" s="53"/>
      <c r="D23" s="24" t="s">
        <v>119</v>
      </c>
      <c r="E23" s="48" t="s">
        <v>110</v>
      </c>
      <c r="F23" s="48" t="s">
        <v>111</v>
      </c>
      <c r="G23" s="50" t="s">
        <v>14</v>
      </c>
      <c r="H23" s="7">
        <v>13</v>
      </c>
      <c r="I23" s="1" t="s">
        <v>15</v>
      </c>
      <c r="J23" s="6">
        <v>3381.8096</v>
      </c>
      <c r="K23" s="1" t="s">
        <v>15</v>
      </c>
      <c r="L23" s="7" t="s">
        <v>26</v>
      </c>
      <c r="M23" s="50" t="s">
        <v>14</v>
      </c>
      <c r="N23" s="6"/>
      <c r="O23" s="1" t="s">
        <v>15</v>
      </c>
      <c r="P23" s="13"/>
      <c r="Q23" s="1" t="s">
        <v>15</v>
      </c>
      <c r="R23" s="7" t="s">
        <v>26</v>
      </c>
      <c r="S23" s="6">
        <f t="shared" si="4"/>
        <v>-3381.8096</v>
      </c>
      <c r="T23" s="48" t="s">
        <v>112</v>
      </c>
      <c r="U23" s="12"/>
      <c r="V23" s="41" t="s">
        <v>51</v>
      </c>
      <c r="W23" s="41" t="s">
        <v>60</v>
      </c>
      <c r="X23" s="40">
        <f>(4108823.04+1303319.47)/1.12</f>
        <v>4832270.0982142854</v>
      </c>
      <c r="Y23" s="40">
        <v>15</v>
      </c>
      <c r="Z23" s="42" t="s">
        <v>61</v>
      </c>
      <c r="AA23" s="42">
        <f>(4108823.04+1303319.47)/1.12</f>
        <v>4832270.0982142854</v>
      </c>
      <c r="AB23" s="40">
        <f t="shared" si="2"/>
        <v>0</v>
      </c>
    </row>
    <row r="24" spans="1:28" s="5" customFormat="1" ht="30" x14ac:dyDescent="0.25">
      <c r="A24" s="22">
        <v>5</v>
      </c>
      <c r="B24" s="24" t="s">
        <v>120</v>
      </c>
      <c r="C24" s="53"/>
      <c r="D24" s="24" t="s">
        <v>120</v>
      </c>
      <c r="E24" s="48" t="s">
        <v>110</v>
      </c>
      <c r="F24" s="48" t="s">
        <v>111</v>
      </c>
      <c r="G24" s="50" t="s">
        <v>14</v>
      </c>
      <c r="H24" s="7">
        <v>13</v>
      </c>
      <c r="I24" s="1" t="s">
        <v>15</v>
      </c>
      <c r="J24" s="6">
        <v>930.05444999999997</v>
      </c>
      <c r="K24" s="1" t="s">
        <v>15</v>
      </c>
      <c r="L24" s="7" t="s">
        <v>26</v>
      </c>
      <c r="M24" s="50" t="s">
        <v>14</v>
      </c>
      <c r="N24" s="6"/>
      <c r="O24" s="1" t="s">
        <v>15</v>
      </c>
      <c r="P24" s="13"/>
      <c r="Q24" s="1" t="s">
        <v>15</v>
      </c>
      <c r="R24" s="7" t="s">
        <v>26</v>
      </c>
      <c r="S24" s="6">
        <f t="shared" si="4"/>
        <v>-930.05444999999997</v>
      </c>
      <c r="T24" s="48" t="s">
        <v>112</v>
      </c>
      <c r="U24" s="12"/>
      <c r="V24" s="41" t="s">
        <v>52</v>
      </c>
      <c r="W24" s="38" t="s">
        <v>58</v>
      </c>
      <c r="X24" s="40">
        <f>1789756.64/1.12</f>
        <v>1597996.9999999998</v>
      </c>
      <c r="Y24" s="40">
        <v>1</v>
      </c>
      <c r="Z24" s="42" t="s">
        <v>59</v>
      </c>
      <c r="AA24" s="42">
        <f>1789756.64/1.12</f>
        <v>1597996.9999999998</v>
      </c>
      <c r="AB24" s="40">
        <f t="shared" si="2"/>
        <v>0</v>
      </c>
    </row>
    <row r="25" spans="1:28" s="5" customFormat="1" x14ac:dyDescent="0.25">
      <c r="A25" s="30"/>
      <c r="B25" s="18" t="s">
        <v>29</v>
      </c>
      <c r="C25" s="8"/>
      <c r="D25" s="18"/>
      <c r="E25" s="1"/>
      <c r="F25" s="17"/>
      <c r="G25" s="17"/>
      <c r="H25" s="7"/>
      <c r="I25" s="1"/>
      <c r="J25" s="9">
        <f>SUM(J20:J24)</f>
        <v>9692.9211928571385</v>
      </c>
      <c r="K25" s="1"/>
      <c r="L25" s="7"/>
      <c r="M25" s="17"/>
      <c r="N25" s="1"/>
      <c r="O25" s="1"/>
      <c r="P25" s="9">
        <f>SUM(P20:P24)</f>
        <v>0</v>
      </c>
      <c r="Q25" s="1"/>
      <c r="R25" s="7"/>
      <c r="S25" s="9">
        <f>P25-J25</f>
        <v>-9692.9211928571385</v>
      </c>
      <c r="T25" s="17"/>
      <c r="U25" s="12"/>
      <c r="V25" s="10"/>
      <c r="W25" s="38"/>
      <c r="X25" s="39"/>
      <c r="Y25" s="39"/>
      <c r="Z25" s="39"/>
      <c r="AA25" s="39"/>
      <c r="AB25" s="39">
        <f t="shared" si="2"/>
        <v>0</v>
      </c>
    </row>
    <row r="26" spans="1:28" s="5" customFormat="1" x14ac:dyDescent="0.25">
      <c r="A26" s="51" t="s">
        <v>25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12"/>
      <c r="V26" s="10"/>
      <c r="W26" s="38"/>
      <c r="X26" s="39"/>
      <c r="Y26" s="39"/>
      <c r="Z26" s="39"/>
      <c r="AA26" s="39"/>
      <c r="AB26" s="39">
        <f t="shared" si="2"/>
        <v>0</v>
      </c>
    </row>
    <row r="27" spans="1:28" s="5" customFormat="1" ht="30" x14ac:dyDescent="0.25">
      <c r="A27" s="11">
        <v>1</v>
      </c>
      <c r="B27" s="20" t="s">
        <v>31</v>
      </c>
      <c r="C27" s="53" t="s">
        <v>109</v>
      </c>
      <c r="D27" s="20" t="s">
        <v>31</v>
      </c>
      <c r="E27" s="48" t="s">
        <v>110</v>
      </c>
      <c r="F27" s="48" t="s">
        <v>111</v>
      </c>
      <c r="G27" s="11" t="s">
        <v>14</v>
      </c>
      <c r="H27" s="11" t="s">
        <v>123</v>
      </c>
      <c r="I27" s="1" t="s">
        <v>15</v>
      </c>
      <c r="J27" s="6">
        <v>2025.6964</v>
      </c>
      <c r="K27" s="1" t="s">
        <v>15</v>
      </c>
      <c r="L27" s="7" t="s">
        <v>26</v>
      </c>
      <c r="M27" s="11" t="s">
        <v>14</v>
      </c>
      <c r="N27" s="1"/>
      <c r="O27" s="1" t="s">
        <v>15</v>
      </c>
      <c r="P27" s="13"/>
      <c r="Q27" s="1" t="s">
        <v>15</v>
      </c>
      <c r="R27" s="7" t="s">
        <v>26</v>
      </c>
      <c r="S27" s="6">
        <f t="shared" ref="S27:S31" si="5">P27-J27</f>
        <v>-2025.6964</v>
      </c>
      <c r="T27" s="48" t="s">
        <v>112</v>
      </c>
      <c r="U27" s="12"/>
      <c r="V27" s="41" t="s">
        <v>52</v>
      </c>
      <c r="W27" s="41" t="s">
        <v>62</v>
      </c>
      <c r="X27" s="39">
        <f>260581.44/1.12</f>
        <v>232661.99999999997</v>
      </c>
      <c r="Y27" s="39">
        <v>6</v>
      </c>
      <c r="Z27" s="42" t="s">
        <v>63</v>
      </c>
      <c r="AA27" s="42">
        <f>260581.44/1.12</f>
        <v>232661.99999999997</v>
      </c>
      <c r="AB27" s="39">
        <f t="shared" si="2"/>
        <v>0</v>
      </c>
    </row>
    <row r="28" spans="1:28" s="5" customFormat="1" ht="30" x14ac:dyDescent="0.25">
      <c r="A28" s="11">
        <v>2</v>
      </c>
      <c r="B28" s="20" t="s">
        <v>32</v>
      </c>
      <c r="C28" s="53"/>
      <c r="D28" s="20" t="s">
        <v>32</v>
      </c>
      <c r="E28" s="48" t="s">
        <v>110</v>
      </c>
      <c r="F28" s="48" t="s">
        <v>111</v>
      </c>
      <c r="G28" s="11" t="s">
        <v>14</v>
      </c>
      <c r="H28" s="11" t="s">
        <v>35</v>
      </c>
      <c r="I28" s="1" t="s">
        <v>15</v>
      </c>
      <c r="J28" s="6">
        <v>9171.48</v>
      </c>
      <c r="K28" s="1" t="s">
        <v>15</v>
      </c>
      <c r="L28" s="7" t="s">
        <v>26</v>
      </c>
      <c r="M28" s="11" t="s">
        <v>14</v>
      </c>
      <c r="N28" s="1"/>
      <c r="O28" s="1" t="s">
        <v>15</v>
      </c>
      <c r="P28" s="13"/>
      <c r="Q28" s="1" t="s">
        <v>15</v>
      </c>
      <c r="R28" s="7" t="s">
        <v>26</v>
      </c>
      <c r="S28" s="6">
        <f t="shared" si="5"/>
        <v>-9171.48</v>
      </c>
      <c r="T28" s="48" t="s">
        <v>112</v>
      </c>
      <c r="U28" s="12"/>
      <c r="V28" s="41" t="s">
        <v>52</v>
      </c>
      <c r="W28" s="41" t="s">
        <v>64</v>
      </c>
      <c r="X28" s="42">
        <f>231836.64/1.12</f>
        <v>206997</v>
      </c>
      <c r="Y28" s="42">
        <v>1</v>
      </c>
      <c r="Z28" s="42" t="s">
        <v>65</v>
      </c>
      <c r="AA28" s="42">
        <f>231836.64/1.12</f>
        <v>206997</v>
      </c>
      <c r="AB28" s="39">
        <f t="shared" si="2"/>
        <v>0</v>
      </c>
    </row>
    <row r="29" spans="1:28" s="5" customFormat="1" ht="30" x14ac:dyDescent="0.25">
      <c r="A29" s="11">
        <v>3</v>
      </c>
      <c r="B29" s="20" t="s">
        <v>33</v>
      </c>
      <c r="C29" s="53"/>
      <c r="D29" s="20" t="s">
        <v>33</v>
      </c>
      <c r="E29" s="48" t="s">
        <v>110</v>
      </c>
      <c r="F29" s="48" t="s">
        <v>111</v>
      </c>
      <c r="G29" s="11" t="s">
        <v>14</v>
      </c>
      <c r="H29" s="11" t="s">
        <v>35</v>
      </c>
      <c r="I29" s="1" t="s">
        <v>15</v>
      </c>
      <c r="J29" s="6">
        <v>2781.2517499999999</v>
      </c>
      <c r="K29" s="1" t="s">
        <v>15</v>
      </c>
      <c r="L29" s="7" t="s">
        <v>26</v>
      </c>
      <c r="M29" s="11" t="s">
        <v>14</v>
      </c>
      <c r="N29" s="6"/>
      <c r="O29" s="1" t="s">
        <v>15</v>
      </c>
      <c r="P29" s="13"/>
      <c r="Q29" s="1" t="s">
        <v>15</v>
      </c>
      <c r="R29" s="7" t="s">
        <v>26</v>
      </c>
      <c r="S29" s="6">
        <f t="shared" si="5"/>
        <v>-2781.2517499999999</v>
      </c>
      <c r="T29" s="48" t="s">
        <v>112</v>
      </c>
      <c r="U29" s="12"/>
      <c r="V29" s="41" t="s">
        <v>52</v>
      </c>
      <c r="W29" s="41" t="s">
        <v>66</v>
      </c>
      <c r="X29" s="39">
        <f>229304.32/1.12</f>
        <v>204736</v>
      </c>
      <c r="Y29" s="39">
        <v>1</v>
      </c>
      <c r="Z29" s="42" t="s">
        <v>67</v>
      </c>
      <c r="AA29" s="42">
        <f>229304.32/1.12</f>
        <v>204736</v>
      </c>
      <c r="AB29" s="39">
        <f t="shared" si="2"/>
        <v>0</v>
      </c>
    </row>
    <row r="30" spans="1:28" s="5" customFormat="1" ht="39.75" customHeight="1" x14ac:dyDescent="0.25">
      <c r="A30" s="11">
        <v>4</v>
      </c>
      <c r="B30" s="20" t="s">
        <v>121</v>
      </c>
      <c r="C30" s="53"/>
      <c r="D30" s="20" t="s">
        <v>121</v>
      </c>
      <c r="E30" s="48" t="s">
        <v>110</v>
      </c>
      <c r="F30" s="48" t="s">
        <v>111</v>
      </c>
      <c r="G30" s="11" t="s">
        <v>14</v>
      </c>
      <c r="H30" s="11" t="s">
        <v>124</v>
      </c>
      <c r="I30" s="1" t="s">
        <v>15</v>
      </c>
      <c r="J30" s="6">
        <v>308.65176000000002</v>
      </c>
      <c r="K30" s="1" t="s">
        <v>15</v>
      </c>
      <c r="L30" s="7" t="s">
        <v>26</v>
      </c>
      <c r="M30" s="11" t="s">
        <v>14</v>
      </c>
      <c r="N30" s="6"/>
      <c r="O30" s="1" t="s">
        <v>15</v>
      </c>
      <c r="P30" s="13"/>
      <c r="Q30" s="1" t="s">
        <v>15</v>
      </c>
      <c r="R30" s="7" t="s">
        <v>26</v>
      </c>
      <c r="S30" s="6">
        <f t="shared" si="5"/>
        <v>-308.65176000000002</v>
      </c>
      <c r="T30" s="48" t="s">
        <v>112</v>
      </c>
      <c r="U30" s="12"/>
      <c r="V30" s="41" t="s">
        <v>51</v>
      </c>
      <c r="W30" s="38" t="s">
        <v>68</v>
      </c>
      <c r="X30" s="39">
        <f>(291355.9+582711.81)/1.12</f>
        <v>780417.59821428568</v>
      </c>
      <c r="Y30" s="39">
        <v>3</v>
      </c>
      <c r="Z30" s="39" t="s">
        <v>71</v>
      </c>
      <c r="AA30" s="42">
        <f>(291355.9+582711.81)/1.12</f>
        <v>780417.59821428568</v>
      </c>
      <c r="AB30" s="39">
        <f t="shared" si="2"/>
        <v>0</v>
      </c>
    </row>
    <row r="31" spans="1:28" s="5" customFormat="1" ht="30" x14ac:dyDescent="0.25">
      <c r="A31" s="11">
        <v>5</v>
      </c>
      <c r="B31" s="20" t="s">
        <v>122</v>
      </c>
      <c r="C31" s="53"/>
      <c r="D31" s="20" t="s">
        <v>122</v>
      </c>
      <c r="E31" s="48" t="s">
        <v>110</v>
      </c>
      <c r="F31" s="48" t="s">
        <v>111</v>
      </c>
      <c r="G31" s="11" t="s">
        <v>14</v>
      </c>
      <c r="H31" s="11">
        <v>1</v>
      </c>
      <c r="I31" s="1" t="s">
        <v>15</v>
      </c>
      <c r="J31" s="6">
        <v>139.5</v>
      </c>
      <c r="K31" s="1" t="s">
        <v>15</v>
      </c>
      <c r="L31" s="7" t="s">
        <v>26</v>
      </c>
      <c r="M31" s="11" t="s">
        <v>14</v>
      </c>
      <c r="N31" s="6"/>
      <c r="O31" s="1" t="s">
        <v>15</v>
      </c>
      <c r="P31" s="13"/>
      <c r="Q31" s="1" t="s">
        <v>15</v>
      </c>
      <c r="R31" s="7" t="s">
        <v>26</v>
      </c>
      <c r="S31" s="6">
        <f t="shared" si="5"/>
        <v>-139.5</v>
      </c>
      <c r="T31" s="48" t="s">
        <v>112</v>
      </c>
      <c r="U31" s="12"/>
      <c r="V31" s="41" t="s">
        <v>51</v>
      </c>
      <c r="W31" s="41" t="s">
        <v>69</v>
      </c>
      <c r="X31" s="39">
        <f>400638.78/1.12</f>
        <v>357713.19642857142</v>
      </c>
      <c r="Y31" s="39">
        <v>5</v>
      </c>
      <c r="Z31" s="42" t="s">
        <v>70</v>
      </c>
      <c r="AA31" s="42">
        <f>400638.78/1.12</f>
        <v>357713.19642857142</v>
      </c>
      <c r="AB31" s="39">
        <f t="shared" si="2"/>
        <v>0</v>
      </c>
    </row>
    <row r="32" spans="1:28" s="5" customFormat="1" x14ac:dyDescent="0.25">
      <c r="A32" s="1"/>
      <c r="B32" s="18" t="s">
        <v>29</v>
      </c>
      <c r="C32" s="8"/>
      <c r="D32" s="25"/>
      <c r="E32" s="1"/>
      <c r="F32" s="17"/>
      <c r="G32" s="17"/>
      <c r="H32" s="7"/>
      <c r="I32" s="1"/>
      <c r="J32" s="9">
        <f>SUM(J27:J31)</f>
        <v>14426.57991</v>
      </c>
      <c r="K32" s="1"/>
      <c r="L32" s="7"/>
      <c r="M32" s="17"/>
      <c r="N32" s="1"/>
      <c r="O32" s="1"/>
      <c r="P32" s="9">
        <f>SUM(P27:P31)</f>
        <v>0</v>
      </c>
      <c r="Q32" s="1"/>
      <c r="R32" s="7"/>
      <c r="S32" s="9">
        <f>P32-J32</f>
        <v>-14426.57991</v>
      </c>
      <c r="T32" s="17"/>
      <c r="U32" s="12"/>
      <c r="V32" s="10"/>
      <c r="W32" s="38"/>
      <c r="X32" s="39"/>
      <c r="Y32" s="39"/>
      <c r="Z32" s="39"/>
      <c r="AA32" s="39"/>
      <c r="AB32" s="39">
        <f t="shared" si="2"/>
        <v>0</v>
      </c>
    </row>
    <row r="33" spans="1:28" s="5" customFormat="1" x14ac:dyDescent="0.25">
      <c r="A33" s="51" t="s">
        <v>19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12"/>
      <c r="V33" s="10"/>
      <c r="W33" s="38"/>
      <c r="X33" s="39"/>
      <c r="Y33" s="39"/>
      <c r="Z33" s="39"/>
      <c r="AA33" s="39"/>
      <c r="AB33" s="39">
        <f t="shared" si="2"/>
        <v>0</v>
      </c>
    </row>
    <row r="34" spans="1:28" s="5" customFormat="1" ht="45" x14ac:dyDescent="0.25">
      <c r="A34" s="21">
        <v>1</v>
      </c>
      <c r="B34" s="26" t="s">
        <v>125</v>
      </c>
      <c r="C34" s="46" t="s">
        <v>109</v>
      </c>
      <c r="D34" s="26" t="s">
        <v>125</v>
      </c>
      <c r="E34" s="48" t="s">
        <v>110</v>
      </c>
      <c r="F34" s="48" t="s">
        <v>111</v>
      </c>
      <c r="G34" s="11" t="s">
        <v>16</v>
      </c>
      <c r="H34" s="20">
        <v>1</v>
      </c>
      <c r="I34" s="1" t="s">
        <v>15</v>
      </c>
      <c r="J34" s="6">
        <v>16063</v>
      </c>
      <c r="K34" s="1" t="s">
        <v>15</v>
      </c>
      <c r="L34" s="7" t="s">
        <v>26</v>
      </c>
      <c r="M34" s="11" t="s">
        <v>16</v>
      </c>
      <c r="N34" s="1"/>
      <c r="O34" s="1" t="s">
        <v>15</v>
      </c>
      <c r="P34" s="6"/>
      <c r="Q34" s="1" t="s">
        <v>15</v>
      </c>
      <c r="R34" s="7" t="s">
        <v>26</v>
      </c>
      <c r="S34" s="6">
        <f t="shared" ref="S34" si="6">P34-J34</f>
        <v>-16063</v>
      </c>
      <c r="T34" s="48" t="s">
        <v>112</v>
      </c>
      <c r="U34" s="12"/>
      <c r="V34" s="10" t="s">
        <v>72</v>
      </c>
      <c r="W34" s="45" t="s">
        <v>73</v>
      </c>
      <c r="X34" s="39">
        <f>5500000</f>
        <v>5500000</v>
      </c>
      <c r="Y34" s="39">
        <v>1</v>
      </c>
      <c r="Z34" s="43" t="s">
        <v>74</v>
      </c>
      <c r="AA34" s="43">
        <f>5500000</f>
        <v>5500000</v>
      </c>
      <c r="AB34" s="39">
        <f t="shared" si="2"/>
        <v>0</v>
      </c>
    </row>
    <row r="35" spans="1:28" s="5" customFormat="1" x14ac:dyDescent="0.25">
      <c r="A35" s="19"/>
      <c r="B35" s="18" t="s">
        <v>29</v>
      </c>
      <c r="C35" s="17"/>
      <c r="D35" s="25"/>
      <c r="E35" s="1"/>
      <c r="F35" s="17"/>
      <c r="G35" s="17"/>
      <c r="H35" s="7"/>
      <c r="I35" s="1"/>
      <c r="J35" s="9">
        <f>J34</f>
        <v>16063</v>
      </c>
      <c r="K35" s="1"/>
      <c r="L35" s="7"/>
      <c r="M35" s="17"/>
      <c r="N35" s="1"/>
      <c r="O35" s="1"/>
      <c r="P35" s="9">
        <f>P34</f>
        <v>0</v>
      </c>
      <c r="Q35" s="1"/>
      <c r="R35" s="7"/>
      <c r="S35" s="9">
        <f>P35-J35</f>
        <v>-16063</v>
      </c>
      <c r="T35" s="17"/>
      <c r="U35" s="12"/>
      <c r="V35" s="10"/>
      <c r="W35" s="38"/>
      <c r="X35" s="39"/>
      <c r="Y35" s="39"/>
      <c r="Z35" s="39"/>
      <c r="AA35" s="39"/>
      <c r="AB35" s="39">
        <f t="shared" ref="AB35:AB62" si="7">AA35-X35</f>
        <v>0</v>
      </c>
    </row>
    <row r="36" spans="1:28" s="5" customFormat="1" x14ac:dyDescent="0.25">
      <c r="A36" s="51" t="s">
        <v>22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12"/>
      <c r="V36" s="10"/>
      <c r="W36" s="38"/>
      <c r="X36" s="39"/>
      <c r="Y36" s="39"/>
      <c r="Z36" s="39"/>
      <c r="AA36" s="39"/>
      <c r="AB36" s="39">
        <f t="shared" si="7"/>
        <v>0</v>
      </c>
    </row>
    <row r="37" spans="1:28" s="5" customFormat="1" ht="30" x14ac:dyDescent="0.25">
      <c r="A37" s="21">
        <v>1</v>
      </c>
      <c r="B37" s="27" t="s">
        <v>34</v>
      </c>
      <c r="C37" s="53" t="s">
        <v>109</v>
      </c>
      <c r="D37" s="27" t="s">
        <v>34</v>
      </c>
      <c r="E37" s="48" t="s">
        <v>110</v>
      </c>
      <c r="F37" s="48" t="s">
        <v>111</v>
      </c>
      <c r="G37" s="11" t="s">
        <v>14</v>
      </c>
      <c r="H37" s="21">
        <v>6</v>
      </c>
      <c r="I37" s="1" t="s">
        <v>15</v>
      </c>
      <c r="J37" s="22">
        <v>321.05399999999997</v>
      </c>
      <c r="K37" s="1" t="s">
        <v>15</v>
      </c>
      <c r="L37" s="7" t="s">
        <v>26</v>
      </c>
      <c r="M37" s="11" t="s">
        <v>14</v>
      </c>
      <c r="N37" s="6"/>
      <c r="O37" s="1" t="s">
        <v>15</v>
      </c>
      <c r="P37" s="13"/>
      <c r="Q37" s="1" t="s">
        <v>15</v>
      </c>
      <c r="R37" s="7" t="s">
        <v>26</v>
      </c>
      <c r="S37" s="6">
        <f t="shared" ref="S37:S42" si="8">P37-J37</f>
        <v>-321.05399999999997</v>
      </c>
      <c r="T37" s="48" t="s">
        <v>112</v>
      </c>
      <c r="U37" s="12"/>
      <c r="V37" s="10" t="s">
        <v>75</v>
      </c>
      <c r="W37" s="45" t="s">
        <v>76</v>
      </c>
      <c r="X37" s="39">
        <f>2004464/1.12</f>
        <v>1789699.9999999998</v>
      </c>
      <c r="Y37" s="39">
        <v>2</v>
      </c>
      <c r="Z37" s="43" t="s">
        <v>77</v>
      </c>
      <c r="AA37" s="43">
        <f>2004464/1.12</f>
        <v>1789699.9999999998</v>
      </c>
      <c r="AB37" s="39">
        <f t="shared" si="7"/>
        <v>0</v>
      </c>
    </row>
    <row r="38" spans="1:28" s="5" customFormat="1" ht="45" x14ac:dyDescent="0.25">
      <c r="A38" s="21">
        <v>2</v>
      </c>
      <c r="B38" s="27" t="s">
        <v>126</v>
      </c>
      <c r="C38" s="53"/>
      <c r="D38" s="27" t="s">
        <v>126</v>
      </c>
      <c r="E38" s="48" t="s">
        <v>110</v>
      </c>
      <c r="F38" s="48" t="s">
        <v>111</v>
      </c>
      <c r="G38" s="11" t="s">
        <v>14</v>
      </c>
      <c r="H38" s="21">
        <v>1</v>
      </c>
      <c r="I38" s="1" t="s">
        <v>15</v>
      </c>
      <c r="J38" s="22">
        <v>107.48</v>
      </c>
      <c r="K38" s="1" t="s">
        <v>15</v>
      </c>
      <c r="L38" s="7" t="s">
        <v>26</v>
      </c>
      <c r="M38" s="11" t="s">
        <v>14</v>
      </c>
      <c r="N38" s="6"/>
      <c r="O38" s="1" t="s">
        <v>15</v>
      </c>
      <c r="P38" s="13"/>
      <c r="Q38" s="1" t="s">
        <v>15</v>
      </c>
      <c r="R38" s="7" t="s">
        <v>26</v>
      </c>
      <c r="S38" s="6">
        <f t="shared" si="8"/>
        <v>-107.48</v>
      </c>
      <c r="T38" s="48" t="s">
        <v>112</v>
      </c>
      <c r="U38" s="12"/>
      <c r="V38" s="45" t="s">
        <v>78</v>
      </c>
      <c r="W38" s="45" t="s">
        <v>79</v>
      </c>
      <c r="X38" s="39">
        <f>917280/1.12</f>
        <v>818999.99999999988</v>
      </c>
      <c r="Y38" s="39">
        <v>2</v>
      </c>
      <c r="Z38" s="43" t="s">
        <v>80</v>
      </c>
      <c r="AA38" s="43">
        <f>917280/1.12</f>
        <v>818999.99999999988</v>
      </c>
      <c r="AB38" s="39">
        <f t="shared" si="7"/>
        <v>0</v>
      </c>
    </row>
    <row r="39" spans="1:28" s="5" customFormat="1" ht="42" customHeight="1" x14ac:dyDescent="0.25">
      <c r="A39" s="21">
        <v>3</v>
      </c>
      <c r="B39" s="28" t="s">
        <v>127</v>
      </c>
      <c r="C39" s="53"/>
      <c r="D39" s="28" t="s">
        <v>127</v>
      </c>
      <c r="E39" s="48" t="s">
        <v>110</v>
      </c>
      <c r="F39" s="48" t="s">
        <v>111</v>
      </c>
      <c r="G39" s="11" t="s">
        <v>14</v>
      </c>
      <c r="H39" s="6">
        <v>1</v>
      </c>
      <c r="I39" s="1" t="s">
        <v>15</v>
      </c>
      <c r="J39" s="6">
        <v>206.32</v>
      </c>
      <c r="K39" s="1" t="s">
        <v>15</v>
      </c>
      <c r="L39" s="7" t="s">
        <v>26</v>
      </c>
      <c r="M39" s="11" t="s">
        <v>14</v>
      </c>
      <c r="N39" s="1"/>
      <c r="O39" s="1" t="s">
        <v>15</v>
      </c>
      <c r="P39" s="43"/>
      <c r="Q39" s="1" t="s">
        <v>15</v>
      </c>
      <c r="R39" s="7" t="s">
        <v>26</v>
      </c>
      <c r="S39" s="6">
        <f t="shared" si="8"/>
        <v>-206.32</v>
      </c>
      <c r="T39" s="48" t="s">
        <v>112</v>
      </c>
      <c r="U39" s="12"/>
      <c r="V39" s="45" t="s">
        <v>90</v>
      </c>
      <c r="W39" s="38" t="s">
        <v>91</v>
      </c>
      <c r="X39" s="39">
        <f>(804279.44+362752.85)/1.12</f>
        <v>1041993.1160714285</v>
      </c>
      <c r="Y39" s="39">
        <v>2</v>
      </c>
      <c r="Z39" s="43" t="s">
        <v>81</v>
      </c>
      <c r="AA39" s="43">
        <f>804279.44/1.12</f>
        <v>718106.64285714272</v>
      </c>
      <c r="AB39" s="39">
        <f t="shared" si="7"/>
        <v>-323886.4732142858</v>
      </c>
    </row>
    <row r="40" spans="1:28" s="5" customFormat="1" ht="30" x14ac:dyDescent="0.25">
      <c r="A40" s="21">
        <v>4</v>
      </c>
      <c r="B40" s="28" t="s">
        <v>128</v>
      </c>
      <c r="C40" s="53"/>
      <c r="D40" s="28" t="s">
        <v>128</v>
      </c>
      <c r="E40" s="48" t="s">
        <v>110</v>
      </c>
      <c r="F40" s="48" t="s">
        <v>111</v>
      </c>
      <c r="G40" s="11" t="s">
        <v>14</v>
      </c>
      <c r="H40" s="6">
        <v>1</v>
      </c>
      <c r="I40" s="1" t="s">
        <v>15</v>
      </c>
      <c r="J40" s="6">
        <v>1947.67857</v>
      </c>
      <c r="K40" s="1" t="s">
        <v>15</v>
      </c>
      <c r="L40" s="7" t="s">
        <v>26</v>
      </c>
      <c r="M40" s="11" t="s">
        <v>14</v>
      </c>
      <c r="N40" s="6"/>
      <c r="O40" s="1" t="s">
        <v>15</v>
      </c>
      <c r="P40" s="13"/>
      <c r="Q40" s="1" t="s">
        <v>15</v>
      </c>
      <c r="R40" s="7" t="s">
        <v>26</v>
      </c>
      <c r="S40" s="6">
        <f t="shared" si="8"/>
        <v>-1947.67857</v>
      </c>
      <c r="T40" s="48" t="s">
        <v>112</v>
      </c>
      <c r="U40" s="12"/>
      <c r="V40" s="45" t="s">
        <v>51</v>
      </c>
      <c r="W40" s="38" t="s">
        <v>82</v>
      </c>
      <c r="X40" s="39">
        <f>2039491.33/1.12</f>
        <v>1820974.4017857141</v>
      </c>
      <c r="Y40" s="39">
        <v>7</v>
      </c>
      <c r="Z40" s="43" t="s">
        <v>83</v>
      </c>
      <c r="AA40" s="43">
        <f>2039491.33/1.12</f>
        <v>1820974.4017857141</v>
      </c>
      <c r="AB40" s="39">
        <f t="shared" si="7"/>
        <v>0</v>
      </c>
    </row>
    <row r="41" spans="1:28" s="5" customFormat="1" ht="30" x14ac:dyDescent="0.25">
      <c r="A41" s="21">
        <v>5</v>
      </c>
      <c r="B41" s="28" t="s">
        <v>32</v>
      </c>
      <c r="C41" s="53"/>
      <c r="D41" s="28" t="s">
        <v>32</v>
      </c>
      <c r="E41" s="48" t="s">
        <v>110</v>
      </c>
      <c r="F41" s="48" t="s">
        <v>111</v>
      </c>
      <c r="G41" s="11" t="s">
        <v>14</v>
      </c>
      <c r="H41" s="6">
        <v>3</v>
      </c>
      <c r="I41" s="1" t="s">
        <v>15</v>
      </c>
      <c r="J41" s="6">
        <v>917.15</v>
      </c>
      <c r="K41" s="1" t="s">
        <v>15</v>
      </c>
      <c r="L41" s="7" t="s">
        <v>26</v>
      </c>
      <c r="M41" s="11" t="s">
        <v>14</v>
      </c>
      <c r="N41" s="1"/>
      <c r="O41" s="1" t="s">
        <v>15</v>
      </c>
      <c r="P41" s="13"/>
      <c r="Q41" s="1" t="s">
        <v>15</v>
      </c>
      <c r="R41" s="7" t="s">
        <v>26</v>
      </c>
      <c r="S41" s="6">
        <f t="shared" si="8"/>
        <v>-917.15</v>
      </c>
      <c r="T41" s="48" t="s">
        <v>112</v>
      </c>
      <c r="U41" s="12"/>
      <c r="V41" s="10" t="s">
        <v>84</v>
      </c>
      <c r="W41" s="38" t="s">
        <v>85</v>
      </c>
      <c r="X41" s="39">
        <f>442411.2/1.12</f>
        <v>395010</v>
      </c>
      <c r="Y41" s="39">
        <v>5</v>
      </c>
      <c r="Z41" s="43" t="s">
        <v>86</v>
      </c>
      <c r="AA41" s="43">
        <f>442411.2/1.12</f>
        <v>395010</v>
      </c>
      <c r="AB41" s="39">
        <f t="shared" si="7"/>
        <v>0</v>
      </c>
    </row>
    <row r="42" spans="1:28" s="5" customFormat="1" ht="30" x14ac:dyDescent="0.25">
      <c r="A42" s="21">
        <v>6</v>
      </c>
      <c r="B42" s="28" t="s">
        <v>33</v>
      </c>
      <c r="C42" s="53"/>
      <c r="D42" s="28" t="s">
        <v>33</v>
      </c>
      <c r="E42" s="48" t="s">
        <v>110</v>
      </c>
      <c r="F42" s="48" t="s">
        <v>111</v>
      </c>
      <c r="G42" s="11" t="s">
        <v>14</v>
      </c>
      <c r="H42" s="6">
        <v>3</v>
      </c>
      <c r="I42" s="1" t="s">
        <v>15</v>
      </c>
      <c r="J42" s="6">
        <v>278.12</v>
      </c>
      <c r="K42" s="1" t="s">
        <v>15</v>
      </c>
      <c r="L42" s="7" t="s">
        <v>26</v>
      </c>
      <c r="M42" s="11" t="s">
        <v>14</v>
      </c>
      <c r="N42" s="1"/>
      <c r="O42" s="1" t="s">
        <v>15</v>
      </c>
      <c r="P42" s="13"/>
      <c r="Q42" s="1" t="s">
        <v>15</v>
      </c>
      <c r="R42" s="7" t="s">
        <v>26</v>
      </c>
      <c r="S42" s="6">
        <f t="shared" si="8"/>
        <v>-278.12</v>
      </c>
      <c r="T42" s="48" t="s">
        <v>112</v>
      </c>
      <c r="U42" s="12"/>
      <c r="V42" s="45" t="s">
        <v>87</v>
      </c>
      <c r="W42" s="38" t="s">
        <v>88</v>
      </c>
      <c r="X42" s="39">
        <f>390880/1.12</f>
        <v>348999.99999999994</v>
      </c>
      <c r="Y42" s="39">
        <v>5</v>
      </c>
      <c r="Z42" s="43" t="s">
        <v>89</v>
      </c>
      <c r="AA42" s="43">
        <f>390880/1.12</f>
        <v>348999.99999999994</v>
      </c>
      <c r="AB42" s="39">
        <f t="shared" si="7"/>
        <v>0</v>
      </c>
    </row>
    <row r="43" spans="1:28" s="5" customFormat="1" x14ac:dyDescent="0.25">
      <c r="A43" s="19"/>
      <c r="B43" s="18" t="s">
        <v>29</v>
      </c>
      <c r="C43" s="17"/>
      <c r="D43" s="25"/>
      <c r="E43" s="1"/>
      <c r="F43" s="17"/>
      <c r="G43" s="17"/>
      <c r="H43" s="7"/>
      <c r="I43" s="1"/>
      <c r="J43" s="9">
        <f>SUM(J37:J42)</f>
        <v>3777.8025700000003</v>
      </c>
      <c r="K43" s="1"/>
      <c r="L43" s="7"/>
      <c r="M43" s="17"/>
      <c r="N43" s="1"/>
      <c r="O43" s="1"/>
      <c r="P43" s="9">
        <f>SUM(P37:P42)</f>
        <v>0</v>
      </c>
      <c r="Q43" s="1"/>
      <c r="R43" s="7"/>
      <c r="S43" s="9">
        <f>P43-J43</f>
        <v>-3777.8025700000003</v>
      </c>
      <c r="T43" s="17"/>
      <c r="U43" s="12"/>
      <c r="V43" s="10"/>
      <c r="W43" s="38"/>
      <c r="X43" s="39"/>
      <c r="Y43" s="39"/>
      <c r="Z43" s="39"/>
      <c r="AA43" s="39"/>
      <c r="AB43" s="39">
        <f t="shared" si="7"/>
        <v>0</v>
      </c>
    </row>
    <row r="44" spans="1:28" s="5" customFormat="1" x14ac:dyDescent="0.25">
      <c r="A44" s="51" t="s">
        <v>20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12"/>
      <c r="V44" s="10"/>
      <c r="W44" s="38"/>
      <c r="X44" s="39"/>
      <c r="Y44" s="39"/>
      <c r="Z44" s="39"/>
      <c r="AA44" s="39"/>
      <c r="AB44" s="39">
        <f t="shared" si="7"/>
        <v>0</v>
      </c>
    </row>
    <row r="45" spans="1:28" s="5" customFormat="1" ht="69.75" customHeight="1" x14ac:dyDescent="0.25">
      <c r="A45" s="6">
        <v>1</v>
      </c>
      <c r="B45" s="28" t="s">
        <v>129</v>
      </c>
      <c r="C45" s="46" t="s">
        <v>109</v>
      </c>
      <c r="D45" s="28" t="s">
        <v>129</v>
      </c>
      <c r="E45" s="48" t="s">
        <v>110</v>
      </c>
      <c r="F45" s="48" t="s">
        <v>111</v>
      </c>
      <c r="G45" s="6" t="s">
        <v>16</v>
      </c>
      <c r="H45" s="6">
        <v>1</v>
      </c>
      <c r="I45" s="1" t="s">
        <v>15</v>
      </c>
      <c r="J45" s="6">
        <v>48070.747000000003</v>
      </c>
      <c r="K45" s="1" t="s">
        <v>15</v>
      </c>
      <c r="L45" s="7" t="s">
        <v>26</v>
      </c>
      <c r="M45" s="6" t="s">
        <v>16</v>
      </c>
      <c r="N45" s="6"/>
      <c r="O45" s="1" t="s">
        <v>15</v>
      </c>
      <c r="P45" s="13"/>
      <c r="Q45" s="1" t="s">
        <v>15</v>
      </c>
      <c r="R45" s="7" t="s">
        <v>26</v>
      </c>
      <c r="S45" s="6">
        <f t="shared" ref="S45" si="9">P45-J45</f>
        <v>-48070.747000000003</v>
      </c>
      <c r="T45" s="48" t="s">
        <v>112</v>
      </c>
      <c r="U45" s="12"/>
      <c r="V45" s="45" t="s">
        <v>92</v>
      </c>
      <c r="W45" s="45" t="s">
        <v>93</v>
      </c>
      <c r="X45" s="39">
        <f>(7310409.9+824320)/1.12</f>
        <v>7263151.6964285709</v>
      </c>
      <c r="Y45" s="39">
        <v>1</v>
      </c>
      <c r="Z45" s="43" t="s">
        <v>100</v>
      </c>
      <c r="AA45" s="43">
        <f>(7310409.9+824320)/1.12</f>
        <v>7263151.6964285709</v>
      </c>
      <c r="AB45" s="39">
        <f t="shared" si="7"/>
        <v>0</v>
      </c>
    </row>
    <row r="46" spans="1:28" s="5" customFormat="1" x14ac:dyDescent="0.25">
      <c r="A46" s="6"/>
      <c r="B46" s="18" t="s">
        <v>29</v>
      </c>
      <c r="C46" s="17"/>
      <c r="D46" s="18"/>
      <c r="E46" s="1"/>
      <c r="F46" s="17"/>
      <c r="G46" s="6"/>
      <c r="H46" s="6"/>
      <c r="I46" s="1"/>
      <c r="J46" s="9">
        <f>J45</f>
        <v>48070.747000000003</v>
      </c>
      <c r="K46" s="1"/>
      <c r="L46" s="7"/>
      <c r="M46" s="17"/>
      <c r="N46" s="1"/>
      <c r="O46" s="9"/>
      <c r="P46" s="9">
        <f>P45</f>
        <v>0</v>
      </c>
      <c r="Q46" s="1"/>
      <c r="R46" s="7"/>
      <c r="S46" s="9">
        <f>P46-J46</f>
        <v>-48070.747000000003</v>
      </c>
      <c r="T46" s="17"/>
      <c r="U46" s="12"/>
      <c r="V46" s="10"/>
      <c r="W46" s="38"/>
      <c r="X46" s="39"/>
      <c r="Y46" s="39"/>
      <c r="Z46" s="39"/>
      <c r="AA46" s="39"/>
      <c r="AB46" s="39">
        <f t="shared" si="7"/>
        <v>0</v>
      </c>
    </row>
    <row r="47" spans="1:28" s="5" customFormat="1" x14ac:dyDescent="0.25">
      <c r="A47" s="51" t="s">
        <v>21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12"/>
      <c r="V47" s="10"/>
      <c r="W47" s="49"/>
      <c r="X47" s="47"/>
      <c r="Y47" s="47"/>
      <c r="Z47" s="47"/>
      <c r="AA47" s="47"/>
      <c r="AB47" s="47">
        <f t="shared" ref="AB47" si="10">AA47-X47</f>
        <v>0</v>
      </c>
    </row>
    <row r="48" spans="1:28" s="5" customFormat="1" ht="45" customHeight="1" x14ac:dyDescent="0.25">
      <c r="A48" s="6">
        <v>1</v>
      </c>
      <c r="B48" s="20" t="s">
        <v>130</v>
      </c>
      <c r="C48" s="52" t="s">
        <v>109</v>
      </c>
      <c r="D48" s="20" t="s">
        <v>130</v>
      </c>
      <c r="E48" s="48" t="s">
        <v>110</v>
      </c>
      <c r="F48" s="48" t="s">
        <v>111</v>
      </c>
      <c r="G48" s="6" t="s">
        <v>16</v>
      </c>
      <c r="H48" s="6">
        <v>1</v>
      </c>
      <c r="I48" s="1" t="s">
        <v>15</v>
      </c>
      <c r="J48" s="6">
        <v>6559.4030000000002</v>
      </c>
      <c r="K48" s="1" t="s">
        <v>15</v>
      </c>
      <c r="L48" s="7" t="s">
        <v>26</v>
      </c>
      <c r="M48" s="6" t="s">
        <v>16</v>
      </c>
      <c r="N48" s="1"/>
      <c r="O48" s="1" t="s">
        <v>15</v>
      </c>
      <c r="P48" s="9"/>
      <c r="Q48" s="1" t="s">
        <v>15</v>
      </c>
      <c r="R48" s="7" t="s">
        <v>26</v>
      </c>
      <c r="S48" s="6">
        <f t="shared" ref="S48:S50" si="11">P48-J48</f>
        <v>-6559.4030000000002</v>
      </c>
      <c r="T48" s="48" t="s">
        <v>112</v>
      </c>
      <c r="U48" s="12"/>
      <c r="V48" s="10"/>
      <c r="W48" s="49"/>
      <c r="X48" s="47"/>
      <c r="Y48" s="47"/>
      <c r="Z48" s="47"/>
      <c r="AA48" s="47"/>
      <c r="AB48" s="47"/>
    </row>
    <row r="49" spans="1:28" s="5" customFormat="1" ht="30" x14ac:dyDescent="0.25">
      <c r="A49" s="6">
        <v>2</v>
      </c>
      <c r="B49" s="20" t="s">
        <v>36</v>
      </c>
      <c r="C49" s="57"/>
      <c r="D49" s="20" t="s">
        <v>36</v>
      </c>
      <c r="E49" s="48" t="s">
        <v>110</v>
      </c>
      <c r="F49" s="48" t="s">
        <v>111</v>
      </c>
      <c r="G49" s="6" t="s">
        <v>14</v>
      </c>
      <c r="H49" s="6">
        <v>26</v>
      </c>
      <c r="I49" s="1" t="s">
        <v>15</v>
      </c>
      <c r="J49" s="6">
        <v>2425.5241074999999</v>
      </c>
      <c r="K49" s="1" t="s">
        <v>15</v>
      </c>
      <c r="L49" s="7" t="s">
        <v>26</v>
      </c>
      <c r="M49" s="6" t="s">
        <v>14</v>
      </c>
      <c r="N49" s="1"/>
      <c r="O49" s="1" t="s">
        <v>15</v>
      </c>
      <c r="P49" s="9"/>
      <c r="Q49" s="1" t="s">
        <v>15</v>
      </c>
      <c r="R49" s="7" t="s">
        <v>26</v>
      </c>
      <c r="S49" s="6">
        <f t="shared" si="11"/>
        <v>-2425.5241074999999</v>
      </c>
      <c r="T49" s="48" t="s">
        <v>112</v>
      </c>
      <c r="U49" s="12"/>
      <c r="V49" s="10"/>
      <c r="W49" s="49"/>
      <c r="X49" s="47"/>
      <c r="Y49" s="47"/>
      <c r="Z49" s="47"/>
      <c r="AA49" s="47"/>
      <c r="AB49" s="47"/>
    </row>
    <row r="50" spans="1:28" s="5" customFormat="1" x14ac:dyDescent="0.25">
      <c r="A50" s="6"/>
      <c r="B50" s="18" t="s">
        <v>29</v>
      </c>
      <c r="C50" s="48"/>
      <c r="D50" s="18"/>
      <c r="E50" s="1"/>
      <c r="F50" s="48"/>
      <c r="G50" s="6"/>
      <c r="H50" s="6"/>
      <c r="I50" s="1"/>
      <c r="J50" s="9">
        <f>SUM(J48:J49)</f>
        <v>8984.9271074999997</v>
      </c>
      <c r="K50" s="1"/>
      <c r="L50" s="7"/>
      <c r="M50" s="48"/>
      <c r="N50" s="1"/>
      <c r="O50" s="9"/>
      <c r="P50" s="9"/>
      <c r="Q50" s="1"/>
      <c r="R50" s="7"/>
      <c r="S50" s="9">
        <f t="shared" si="11"/>
        <v>-8984.9271074999997</v>
      </c>
      <c r="T50" s="48"/>
      <c r="U50" s="12"/>
      <c r="V50" s="10"/>
      <c r="W50" s="49"/>
      <c r="X50" s="47"/>
      <c r="Y50" s="47"/>
      <c r="Z50" s="47"/>
      <c r="AA50" s="47"/>
      <c r="AB50" s="47"/>
    </row>
    <row r="51" spans="1:28" s="5" customFormat="1" x14ac:dyDescent="0.25">
      <c r="A51" s="51" t="s">
        <v>131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12"/>
      <c r="V51" s="10"/>
      <c r="W51" s="38"/>
      <c r="X51" s="39"/>
      <c r="Y51" s="39"/>
      <c r="Z51" s="39"/>
      <c r="AA51" s="39"/>
      <c r="AB51" s="39">
        <f t="shared" si="7"/>
        <v>0</v>
      </c>
    </row>
    <row r="52" spans="1:28" s="5" customFormat="1" ht="60" x14ac:dyDescent="0.25">
      <c r="A52" s="11">
        <v>1</v>
      </c>
      <c r="B52" s="20" t="s">
        <v>132</v>
      </c>
      <c r="C52" s="53" t="s">
        <v>109</v>
      </c>
      <c r="D52" s="20" t="s">
        <v>132</v>
      </c>
      <c r="E52" s="48" t="s">
        <v>110</v>
      </c>
      <c r="F52" s="48" t="s">
        <v>111</v>
      </c>
      <c r="G52" s="17" t="s">
        <v>24</v>
      </c>
      <c r="H52" s="11">
        <v>1</v>
      </c>
      <c r="I52" s="1" t="s">
        <v>15</v>
      </c>
      <c r="J52" s="11">
        <v>3619.55</v>
      </c>
      <c r="K52" s="1" t="s">
        <v>15</v>
      </c>
      <c r="L52" s="7" t="s">
        <v>26</v>
      </c>
      <c r="M52" s="48" t="s">
        <v>24</v>
      </c>
      <c r="N52" s="1"/>
      <c r="O52" s="1" t="s">
        <v>15</v>
      </c>
      <c r="P52" s="13"/>
      <c r="Q52" s="1" t="s">
        <v>15</v>
      </c>
      <c r="R52" s="7" t="s">
        <v>26</v>
      </c>
      <c r="S52" s="6">
        <f t="shared" ref="S52:S53" si="12">P52-J52</f>
        <v>-3619.55</v>
      </c>
      <c r="T52" s="48" t="s">
        <v>112</v>
      </c>
      <c r="U52" s="12"/>
      <c r="V52" s="45" t="s">
        <v>94</v>
      </c>
      <c r="W52" s="38" t="s">
        <v>95</v>
      </c>
      <c r="X52" s="39">
        <f>64021067.47/1.12</f>
        <v>57161667.383928567</v>
      </c>
      <c r="Y52" s="39">
        <f>67+51</f>
        <v>118</v>
      </c>
      <c r="Z52" s="43" t="s">
        <v>96</v>
      </c>
      <c r="AA52" s="39">
        <f>(36350945.09+27670122.38)/1.12</f>
        <v>57161667.383928567</v>
      </c>
      <c r="AB52" s="39">
        <f t="shared" si="7"/>
        <v>0</v>
      </c>
    </row>
    <row r="53" spans="1:28" s="5" customFormat="1" ht="45" x14ac:dyDescent="0.25">
      <c r="A53" s="11">
        <v>2</v>
      </c>
      <c r="B53" s="20" t="s">
        <v>133</v>
      </c>
      <c r="C53" s="53"/>
      <c r="D53" s="20" t="s">
        <v>133</v>
      </c>
      <c r="E53" s="48" t="s">
        <v>110</v>
      </c>
      <c r="F53" s="48" t="s">
        <v>111</v>
      </c>
      <c r="G53" s="17" t="s">
        <v>24</v>
      </c>
      <c r="H53" s="11">
        <v>1</v>
      </c>
      <c r="I53" s="1" t="s">
        <v>15</v>
      </c>
      <c r="J53" s="11">
        <v>34979.758000000002</v>
      </c>
      <c r="K53" s="1" t="s">
        <v>15</v>
      </c>
      <c r="L53" s="7" t="s">
        <v>26</v>
      </c>
      <c r="M53" s="48" t="s">
        <v>24</v>
      </c>
      <c r="N53" s="6"/>
      <c r="O53" s="1" t="s">
        <v>15</v>
      </c>
      <c r="P53" s="13"/>
      <c r="Q53" s="1" t="s">
        <v>15</v>
      </c>
      <c r="R53" s="7" t="s">
        <v>26</v>
      </c>
      <c r="S53" s="6">
        <f t="shared" si="12"/>
        <v>-34979.758000000002</v>
      </c>
      <c r="T53" s="48" t="s">
        <v>112</v>
      </c>
      <c r="U53" s="12"/>
      <c r="V53" s="45" t="s">
        <v>97</v>
      </c>
      <c r="W53" s="38" t="s">
        <v>98</v>
      </c>
      <c r="X53" s="39">
        <f>653999.99/1.12</f>
        <v>583928.56249999988</v>
      </c>
      <c r="Y53" s="39">
        <v>2</v>
      </c>
      <c r="Z53" s="43" t="s">
        <v>99</v>
      </c>
      <c r="AA53" s="43">
        <f>653999.99/1.12</f>
        <v>583928.56249999988</v>
      </c>
      <c r="AB53" s="39">
        <f t="shared" si="7"/>
        <v>0</v>
      </c>
    </row>
    <row r="54" spans="1:28" s="5" customFormat="1" x14ac:dyDescent="0.25">
      <c r="A54" s="1"/>
      <c r="B54" s="18" t="s">
        <v>29</v>
      </c>
      <c r="C54" s="17"/>
      <c r="D54" s="25"/>
      <c r="E54" s="1"/>
      <c r="F54" s="17"/>
      <c r="G54" s="17"/>
      <c r="H54" s="7"/>
      <c r="I54" s="1"/>
      <c r="J54" s="9">
        <f>SUM(J52:J53)</f>
        <v>38599.308000000005</v>
      </c>
      <c r="K54" s="1"/>
      <c r="L54" s="7"/>
      <c r="M54" s="17"/>
      <c r="N54" s="1"/>
      <c r="O54" s="1"/>
      <c r="P54" s="9">
        <f>SUM(P52:P53)</f>
        <v>0</v>
      </c>
      <c r="Q54" s="1"/>
      <c r="R54" s="7"/>
      <c r="S54" s="9">
        <f>P54-J54</f>
        <v>-38599.308000000005</v>
      </c>
      <c r="T54" s="17"/>
      <c r="U54" s="12"/>
      <c r="V54" s="10"/>
      <c r="W54" s="38"/>
      <c r="X54" s="39"/>
      <c r="Y54" s="39"/>
      <c r="Z54" s="39"/>
      <c r="AA54" s="39"/>
      <c r="AB54" s="39">
        <f t="shared" si="7"/>
        <v>0</v>
      </c>
    </row>
    <row r="55" spans="1:28" s="5" customFormat="1" x14ac:dyDescent="0.25">
      <c r="A55" s="51" t="s">
        <v>134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12"/>
      <c r="V55" s="10"/>
      <c r="W55" s="38"/>
      <c r="X55" s="39"/>
      <c r="Y55" s="39"/>
      <c r="Z55" s="39"/>
      <c r="AA55" s="39"/>
      <c r="AB55" s="39">
        <f t="shared" si="7"/>
        <v>0</v>
      </c>
    </row>
    <row r="56" spans="1:28" s="5" customFormat="1" ht="45" customHeight="1" x14ac:dyDescent="0.25">
      <c r="A56" s="1">
        <v>1</v>
      </c>
      <c r="B56" s="25" t="s">
        <v>135</v>
      </c>
      <c r="C56" s="52" t="s">
        <v>141</v>
      </c>
      <c r="D56" s="25" t="s">
        <v>135</v>
      </c>
      <c r="E56" s="48" t="s">
        <v>137</v>
      </c>
      <c r="F56" s="48" t="s">
        <v>138</v>
      </c>
      <c r="G56" s="17" t="s">
        <v>14</v>
      </c>
      <c r="H56" s="7">
        <v>1</v>
      </c>
      <c r="I56" s="1" t="s">
        <v>15</v>
      </c>
      <c r="J56" s="6">
        <v>8657.14</v>
      </c>
      <c r="K56" s="1" t="s">
        <v>15</v>
      </c>
      <c r="L56" s="7" t="s">
        <v>26</v>
      </c>
      <c r="M56" s="44" t="s">
        <v>14</v>
      </c>
      <c r="N56" s="1"/>
      <c r="O56" s="1" t="s">
        <v>15</v>
      </c>
      <c r="P56" s="13"/>
      <c r="Q56" s="1" t="s">
        <v>15</v>
      </c>
      <c r="R56" s="7" t="s">
        <v>26</v>
      </c>
      <c r="S56" s="6">
        <f t="shared" ref="S56:S57" si="13">P56-J56</f>
        <v>-8657.14</v>
      </c>
      <c r="T56" s="48" t="s">
        <v>139</v>
      </c>
      <c r="U56" s="12"/>
      <c r="V56" s="10" t="s">
        <v>101</v>
      </c>
      <c r="W56" s="38" t="s">
        <v>102</v>
      </c>
      <c r="X56" s="39">
        <f>517440/1.12</f>
        <v>461999.99999999994</v>
      </c>
      <c r="Y56" s="39">
        <v>11</v>
      </c>
      <c r="Z56" s="43" t="s">
        <v>103</v>
      </c>
      <c r="AA56" s="43">
        <f>517440/1.12</f>
        <v>461999.99999999994</v>
      </c>
      <c r="AB56" s="39">
        <f t="shared" si="7"/>
        <v>0</v>
      </c>
    </row>
    <row r="57" spans="1:28" s="5" customFormat="1" ht="45" x14ac:dyDescent="0.25">
      <c r="A57" s="1">
        <v>2</v>
      </c>
      <c r="B57" s="25" t="s">
        <v>136</v>
      </c>
      <c r="C57" s="53"/>
      <c r="D57" s="25" t="s">
        <v>136</v>
      </c>
      <c r="E57" s="48" t="s">
        <v>137</v>
      </c>
      <c r="F57" s="48" t="s">
        <v>138</v>
      </c>
      <c r="G57" s="17" t="s">
        <v>14</v>
      </c>
      <c r="H57" s="7">
        <v>3</v>
      </c>
      <c r="I57" s="1" t="s">
        <v>15</v>
      </c>
      <c r="J57" s="6">
        <v>8303.57</v>
      </c>
      <c r="K57" s="1" t="s">
        <v>15</v>
      </c>
      <c r="L57" s="7" t="s">
        <v>26</v>
      </c>
      <c r="M57" s="44" t="s">
        <v>14</v>
      </c>
      <c r="N57" s="1"/>
      <c r="O57" s="1" t="s">
        <v>15</v>
      </c>
      <c r="P57" s="13"/>
      <c r="Q57" s="1" t="s">
        <v>15</v>
      </c>
      <c r="R57" s="7" t="s">
        <v>26</v>
      </c>
      <c r="S57" s="6">
        <f t="shared" si="13"/>
        <v>-8303.57</v>
      </c>
      <c r="T57" s="48" t="s">
        <v>139</v>
      </c>
      <c r="U57" s="12"/>
      <c r="V57" s="45" t="s">
        <v>50</v>
      </c>
      <c r="W57" s="38" t="s">
        <v>104</v>
      </c>
      <c r="X57" s="39">
        <f>1780800/1.12</f>
        <v>1589999.9999999998</v>
      </c>
      <c r="Y57" s="39">
        <v>5</v>
      </c>
      <c r="Z57" s="43" t="s">
        <v>105</v>
      </c>
      <c r="AA57" s="43">
        <f>1780800/1.12</f>
        <v>1589999.9999999998</v>
      </c>
      <c r="AB57" s="39">
        <f t="shared" si="7"/>
        <v>0</v>
      </c>
    </row>
    <row r="58" spans="1:28" s="5" customFormat="1" x14ac:dyDescent="0.25">
      <c r="A58" s="1"/>
      <c r="B58" s="31" t="s">
        <v>29</v>
      </c>
      <c r="C58" s="17"/>
      <c r="D58" s="25"/>
      <c r="E58" s="1"/>
      <c r="F58" s="17"/>
      <c r="G58" s="17"/>
      <c r="H58" s="7"/>
      <c r="I58" s="1"/>
      <c r="J58" s="9">
        <f>SUM(J56:J57)</f>
        <v>16960.71</v>
      </c>
      <c r="K58" s="1"/>
      <c r="L58" s="7"/>
      <c r="M58" s="17"/>
      <c r="N58" s="1"/>
      <c r="O58" s="1"/>
      <c r="P58" s="9">
        <f>SUM(P56:P57)</f>
        <v>0</v>
      </c>
      <c r="Q58" s="1"/>
      <c r="R58" s="7"/>
      <c r="S58" s="9">
        <f>P58-J58</f>
        <v>-16960.71</v>
      </c>
      <c r="T58" s="17"/>
      <c r="U58" s="12"/>
      <c r="V58" s="10"/>
      <c r="W58" s="38"/>
      <c r="X58" s="39"/>
      <c r="Y58" s="39"/>
      <c r="Z58" s="39"/>
      <c r="AA58" s="39"/>
      <c r="AB58" s="39">
        <f t="shared" si="7"/>
        <v>0</v>
      </c>
    </row>
    <row r="59" spans="1:28" s="5" customFormat="1" x14ac:dyDescent="0.2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6"/>
      <c r="U59" s="12"/>
      <c r="V59" s="10"/>
      <c r="W59" s="38"/>
      <c r="X59" s="39"/>
      <c r="Y59" s="39"/>
      <c r="Z59" s="39"/>
      <c r="AA59" s="39"/>
      <c r="AB59" s="39">
        <f t="shared" si="7"/>
        <v>0</v>
      </c>
    </row>
    <row r="60" spans="1:28" s="5" customFormat="1" ht="45" x14ac:dyDescent="0.25">
      <c r="A60" s="1"/>
      <c r="B60" s="31" t="s">
        <v>39</v>
      </c>
      <c r="C60" s="17" t="s">
        <v>109</v>
      </c>
      <c r="D60" s="25"/>
      <c r="E60" s="1"/>
      <c r="F60" s="17"/>
      <c r="G60" s="17"/>
      <c r="H60" s="7"/>
      <c r="I60" s="1"/>
      <c r="J60" s="9">
        <f>J13+J18+J25+J32+J35+J43+J46+J50+J54</f>
        <v>551355.26010035723</v>
      </c>
      <c r="K60" s="1"/>
      <c r="L60" s="7"/>
      <c r="M60" s="17"/>
      <c r="N60" s="1"/>
      <c r="O60" s="1"/>
      <c r="P60" s="9">
        <f>P13+P18+P25+P32+P35+P43+P46+P50+P54</f>
        <v>0</v>
      </c>
      <c r="Q60" s="1"/>
      <c r="R60" s="7"/>
      <c r="S60" s="9">
        <f t="shared" ref="S60:S61" si="14">P60-J60</f>
        <v>-551355.26010035723</v>
      </c>
      <c r="T60" s="17"/>
      <c r="U60" s="12"/>
      <c r="V60" s="10"/>
      <c r="W60" s="38"/>
      <c r="X60" s="39"/>
      <c r="Y60" s="39"/>
      <c r="Z60" s="39"/>
      <c r="AA60" s="39"/>
      <c r="AB60" s="39">
        <f t="shared" si="7"/>
        <v>0</v>
      </c>
    </row>
    <row r="61" spans="1:28" s="5" customFormat="1" ht="45" x14ac:dyDescent="0.25">
      <c r="A61" s="1"/>
      <c r="B61" s="31" t="s">
        <v>37</v>
      </c>
      <c r="C61" s="17" t="s">
        <v>140</v>
      </c>
      <c r="D61" s="25"/>
      <c r="E61" s="1"/>
      <c r="F61" s="17"/>
      <c r="G61" s="17"/>
      <c r="H61" s="7"/>
      <c r="I61" s="1"/>
      <c r="J61" s="9">
        <f>J58</f>
        <v>16960.71</v>
      </c>
      <c r="K61" s="1"/>
      <c r="L61" s="7"/>
      <c r="M61" s="17"/>
      <c r="N61" s="1"/>
      <c r="O61" s="1"/>
      <c r="P61" s="9">
        <f>P58</f>
        <v>0</v>
      </c>
      <c r="Q61" s="1"/>
      <c r="R61" s="7"/>
      <c r="S61" s="9">
        <f t="shared" si="14"/>
        <v>-16960.71</v>
      </c>
      <c r="T61" s="17"/>
      <c r="U61" s="12"/>
      <c r="V61" s="10"/>
      <c r="W61" s="38"/>
      <c r="X61" s="39"/>
      <c r="Y61" s="39"/>
      <c r="Z61" s="39"/>
      <c r="AA61" s="39"/>
      <c r="AB61" s="39">
        <f t="shared" si="7"/>
        <v>0</v>
      </c>
    </row>
    <row r="62" spans="1:28" s="5" customFormat="1" x14ac:dyDescent="0.25">
      <c r="A62" s="1"/>
      <c r="B62" s="31" t="s">
        <v>38</v>
      </c>
      <c r="C62" s="17"/>
      <c r="D62" s="25"/>
      <c r="E62" s="1"/>
      <c r="F62" s="17"/>
      <c r="G62" s="17"/>
      <c r="H62" s="7"/>
      <c r="I62" s="1"/>
      <c r="J62" s="9">
        <f>J60+J61</f>
        <v>568315.9701003572</v>
      </c>
      <c r="K62" s="1"/>
      <c r="L62" s="7"/>
      <c r="M62" s="17"/>
      <c r="N62" s="1"/>
      <c r="O62" s="1"/>
      <c r="P62" s="9">
        <f>P60+P61</f>
        <v>0</v>
      </c>
      <c r="Q62" s="1"/>
      <c r="R62" s="7"/>
      <c r="S62" s="9">
        <f>S60+S61</f>
        <v>-568315.9701003572</v>
      </c>
      <c r="T62" s="17"/>
      <c r="U62" s="12"/>
      <c r="V62" s="10"/>
      <c r="W62" s="38"/>
      <c r="X62" s="39"/>
      <c r="Y62" s="39"/>
      <c r="Z62" s="39"/>
      <c r="AA62" s="39"/>
      <c r="AB62" s="39">
        <f t="shared" si="7"/>
        <v>0</v>
      </c>
    </row>
    <row r="66" spans="2:2" ht="18.75" x14ac:dyDescent="0.3">
      <c r="B66" s="14"/>
    </row>
    <row r="67" spans="2:2" ht="18.75" x14ac:dyDescent="0.3">
      <c r="B67" s="14" t="s">
        <v>28</v>
      </c>
    </row>
    <row r="68" spans="2:2" ht="18.75" x14ac:dyDescent="0.3">
      <c r="B68" s="14"/>
    </row>
    <row r="69" spans="2:2" ht="18.75" x14ac:dyDescent="0.3">
      <c r="B69" s="14"/>
    </row>
  </sheetData>
  <mergeCells count="30">
    <mergeCell ref="V11:V12"/>
    <mergeCell ref="G7:L7"/>
    <mergeCell ref="A19:T19"/>
    <mergeCell ref="A10:T10"/>
    <mergeCell ref="A5:T5"/>
    <mergeCell ref="M7:R7"/>
    <mergeCell ref="S7:S8"/>
    <mergeCell ref="T7:T8"/>
    <mergeCell ref="E7:F7"/>
    <mergeCell ref="A7:A8"/>
    <mergeCell ref="B7:B8"/>
    <mergeCell ref="C7:C8"/>
    <mergeCell ref="D7:D8"/>
    <mergeCell ref="C11:C12"/>
    <mergeCell ref="A26:T26"/>
    <mergeCell ref="C20:C24"/>
    <mergeCell ref="A33:T33"/>
    <mergeCell ref="C27:C31"/>
    <mergeCell ref="A14:T14"/>
    <mergeCell ref="C15:C17"/>
    <mergeCell ref="A55:T55"/>
    <mergeCell ref="C56:C57"/>
    <mergeCell ref="A59:T59"/>
    <mergeCell ref="A36:T36"/>
    <mergeCell ref="A44:T44"/>
    <mergeCell ref="A51:T51"/>
    <mergeCell ref="C37:C42"/>
    <mergeCell ref="C52:C53"/>
    <mergeCell ref="A47:T47"/>
    <mergeCell ref="C48:C49"/>
  </mergeCells>
  <pageMargins left="0" right="0" top="0" bottom="0" header="0.31496062992125984" footer="0.31496062992125984"/>
  <pageSetup paperSize="9" scale="41" fitToHeight="0" orientation="landscape" r:id="rId1"/>
  <rowBreaks count="4" manualBreakCount="4">
    <brk id="25" max="19" man="1"/>
    <brk id="35" max="19" man="1"/>
    <brk id="54" max="19" man="1"/>
    <brk id="7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15</vt:lpstr>
      <vt:lpstr>'Прил 15'!Область_печати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2022-07-18T10:10:32Z</dcterms:modified>
</cp:coreProperties>
</file>